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D:\Usuario\Desktop\"/>
    </mc:Choice>
  </mc:AlternateContent>
  <bookViews>
    <workbookView xWindow="0" yWindow="0" windowWidth="23016" windowHeight="9168" activeTab="2"/>
  </bookViews>
  <sheets>
    <sheet name="Prestamo&amp;Depreciacion" sheetId="1" r:id="rId1"/>
    <sheet name="DatosProduccion" sheetId="2" r:id="rId2"/>
    <sheet name="FlujoFondos" sheetId="3" r:id="rId3"/>
  </sheets>
  <definedNames>
    <definedName name="solver_adj" localSheetId="2" hidden="1">FlujoFondos!$B$40</definedName>
    <definedName name="solver_cvg" localSheetId="2" hidden="1">0.0001</definedName>
    <definedName name="solver_drv" localSheetId="2" hidden="1">1</definedName>
    <definedName name="solver_eng" localSheetId="2" hidden="1">1</definedName>
    <definedName name="solver_est" localSheetId="2" hidden="1">1</definedName>
    <definedName name="solver_itr" localSheetId="2" hidden="1">2147483647</definedName>
    <definedName name="solver_mip" localSheetId="2" hidden="1">2147483647</definedName>
    <definedName name="solver_mni" localSheetId="2" hidden="1">30</definedName>
    <definedName name="solver_mrt" localSheetId="2" hidden="1">0.075</definedName>
    <definedName name="solver_msl" localSheetId="2" hidden="1">2</definedName>
    <definedName name="solver_neg" localSheetId="2" hidden="1">1</definedName>
    <definedName name="solver_nod" localSheetId="2" hidden="1">2147483647</definedName>
    <definedName name="solver_num" localSheetId="2" hidden="1">0</definedName>
    <definedName name="solver_nwt" localSheetId="2" hidden="1">1</definedName>
    <definedName name="solver_opt" localSheetId="2" hidden="1">FlujoFondos!$J$40</definedName>
    <definedName name="solver_pre" localSheetId="2" hidden="1">0.00000000001</definedName>
    <definedName name="solver_rbv" localSheetId="2" hidden="1">1</definedName>
    <definedName name="solver_rlx" localSheetId="2" hidden="1">2</definedName>
    <definedName name="solver_rsd" localSheetId="2" hidden="1">0</definedName>
    <definedName name="solver_scl" localSheetId="2" hidden="1">1</definedName>
    <definedName name="solver_sho" localSheetId="2" hidden="1">2</definedName>
    <definedName name="solver_ssz" localSheetId="2" hidden="1">100</definedName>
    <definedName name="solver_tim" localSheetId="2" hidden="1">2147483647</definedName>
    <definedName name="solver_tol" localSheetId="2" hidden="1">0.01</definedName>
    <definedName name="solver_typ" localSheetId="2" hidden="1">3</definedName>
    <definedName name="solver_val" localSheetId="2" hidden="1">0</definedName>
    <definedName name="solver_ver" localSheetId="2" hidden="1">3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uri="GoogleSheetsCustomDataVersion1">
      <go:sheetsCustomData xmlns:go="http://customooxmlschemas.google.com/" r:id="rId7" roundtripDataSignature="AMtx7mgDfHi+jna5+hwW6EmVwtAGXDHC8Q=="/>
    </ext>
  </extLst>
</workbook>
</file>

<file path=xl/calcChain.xml><?xml version="1.0" encoding="utf-8"?>
<calcChain xmlns="http://schemas.openxmlformats.org/spreadsheetml/2006/main">
  <c r="J40" i="3" l="1"/>
  <c r="J39" i="3"/>
  <c r="B33" i="3"/>
  <c r="B34" i="3"/>
  <c r="B35" i="3"/>
  <c r="B32" i="3"/>
  <c r="D24" i="3"/>
  <c r="E24" i="3"/>
  <c r="F24" i="3"/>
  <c r="G24" i="3"/>
  <c r="H24" i="3"/>
  <c r="I24" i="3"/>
  <c r="J24" i="3"/>
  <c r="K24" i="3"/>
  <c r="L24" i="3"/>
  <c r="C24" i="3"/>
  <c r="C19" i="3"/>
  <c r="D17" i="3" l="1"/>
  <c r="E17" i="3"/>
  <c r="F17" i="3"/>
  <c r="F21" i="3" s="1"/>
  <c r="G17" i="3"/>
  <c r="H17" i="3"/>
  <c r="I17" i="3"/>
  <c r="J17" i="3"/>
  <c r="J21" i="3" s="1"/>
  <c r="K17" i="3"/>
  <c r="L17" i="3"/>
  <c r="C17" i="3"/>
  <c r="C13" i="3"/>
  <c r="C20" i="3"/>
  <c r="C21" i="3" s="1"/>
  <c r="F20" i="3"/>
  <c r="B38" i="3"/>
  <c r="B53" i="3"/>
  <c r="B54" i="3" s="1"/>
  <c r="L7" i="3"/>
  <c r="D28" i="3"/>
  <c r="E28" i="3"/>
  <c r="F28" i="3"/>
  <c r="G28" i="3"/>
  <c r="H28" i="3"/>
  <c r="I28" i="3"/>
  <c r="J28" i="3"/>
  <c r="K28" i="3"/>
  <c r="L28" i="3"/>
  <c r="C28" i="3"/>
  <c r="D25" i="3"/>
  <c r="E25" i="3"/>
  <c r="F25" i="3"/>
  <c r="G25" i="3"/>
  <c r="G27" i="3" s="1"/>
  <c r="G29" i="3" s="1"/>
  <c r="G30" i="3" s="1"/>
  <c r="G31" i="3" s="1"/>
  <c r="G32" i="3" s="1"/>
  <c r="H25" i="3"/>
  <c r="I25" i="3"/>
  <c r="J25" i="3"/>
  <c r="K25" i="3"/>
  <c r="K27" i="3" s="1"/>
  <c r="K29" i="3" s="1"/>
  <c r="K30" i="3" s="1"/>
  <c r="K31" i="3" s="1"/>
  <c r="K32" i="3" s="1"/>
  <c r="L25" i="3"/>
  <c r="C25" i="3"/>
  <c r="L23" i="3"/>
  <c r="D23" i="3"/>
  <c r="E23" i="3"/>
  <c r="F23" i="3"/>
  <c r="G23" i="3"/>
  <c r="H23" i="3"/>
  <c r="I23" i="3"/>
  <c r="J23" i="3"/>
  <c r="K23" i="3"/>
  <c r="C23" i="3"/>
  <c r="D21" i="3"/>
  <c r="D27" i="3" s="1"/>
  <c r="D29" i="3" s="1"/>
  <c r="D30" i="3" s="1"/>
  <c r="D31" i="3" s="1"/>
  <c r="D32" i="3" s="1"/>
  <c r="E21" i="3"/>
  <c r="G21" i="3"/>
  <c r="H21" i="3"/>
  <c r="I21" i="3"/>
  <c r="K21" i="3"/>
  <c r="L21" i="3"/>
  <c r="D20" i="3"/>
  <c r="E20" i="3"/>
  <c r="G20" i="3"/>
  <c r="H20" i="3"/>
  <c r="I20" i="3"/>
  <c r="J20" i="3"/>
  <c r="K20" i="3"/>
  <c r="L20" i="3"/>
  <c r="D19" i="3"/>
  <c r="E19" i="3"/>
  <c r="F19" i="3"/>
  <c r="G19" i="3"/>
  <c r="H19" i="3"/>
  <c r="I19" i="3"/>
  <c r="J19" i="3"/>
  <c r="K19" i="3"/>
  <c r="L19" i="3"/>
  <c r="D16" i="3"/>
  <c r="E16" i="3"/>
  <c r="F16" i="3"/>
  <c r="G16" i="3"/>
  <c r="H16" i="3"/>
  <c r="I16" i="3"/>
  <c r="J16" i="3"/>
  <c r="K16" i="3"/>
  <c r="L16" i="3"/>
  <c r="C16" i="3"/>
  <c r="C14" i="3"/>
  <c r="D14" i="3"/>
  <c r="E14" i="3"/>
  <c r="F14" i="3"/>
  <c r="G14" i="3"/>
  <c r="H14" i="3"/>
  <c r="I14" i="3"/>
  <c r="J14" i="3"/>
  <c r="K14" i="3"/>
  <c r="L14" i="3"/>
  <c r="D13" i="3"/>
  <c r="E13" i="3"/>
  <c r="F13" i="3"/>
  <c r="G13" i="3"/>
  <c r="H13" i="3"/>
  <c r="I13" i="3"/>
  <c r="J13" i="3"/>
  <c r="K13" i="3"/>
  <c r="L13" i="3"/>
  <c r="D10" i="3"/>
  <c r="E10" i="3"/>
  <c r="F10" i="3"/>
  <c r="G10" i="3"/>
  <c r="H10" i="3"/>
  <c r="I10" i="3"/>
  <c r="J10" i="3"/>
  <c r="K10" i="3"/>
  <c r="L10" i="3"/>
  <c r="C10" i="3"/>
  <c r="D10" i="2"/>
  <c r="E10" i="2"/>
  <c r="F10" i="2"/>
  <c r="G10" i="2"/>
  <c r="H10" i="2"/>
  <c r="I10" i="2"/>
  <c r="J10" i="2"/>
  <c r="K10" i="2"/>
  <c r="L10" i="2"/>
  <c r="C10" i="2"/>
  <c r="D9" i="2"/>
  <c r="E9" i="2"/>
  <c r="F9" i="2"/>
  <c r="G9" i="2"/>
  <c r="H9" i="2"/>
  <c r="I9" i="2"/>
  <c r="J9" i="2"/>
  <c r="K9" i="2"/>
  <c r="L9" i="2"/>
  <c r="C9" i="2"/>
  <c r="D8" i="2"/>
  <c r="E8" i="2"/>
  <c r="F8" i="2"/>
  <c r="G8" i="2"/>
  <c r="H8" i="2"/>
  <c r="I8" i="2"/>
  <c r="J8" i="2"/>
  <c r="K8" i="2"/>
  <c r="L8" i="2"/>
  <c r="C8" i="2"/>
  <c r="D7" i="2"/>
  <c r="E7" i="2"/>
  <c r="F7" i="2"/>
  <c r="G7" i="2"/>
  <c r="H7" i="2"/>
  <c r="I7" i="2"/>
  <c r="J7" i="2"/>
  <c r="K7" i="2"/>
  <c r="L7" i="2"/>
  <c r="C7" i="2"/>
  <c r="D6" i="2"/>
  <c r="E6" i="2"/>
  <c r="F6" i="2"/>
  <c r="G6" i="2"/>
  <c r="H6" i="2"/>
  <c r="I6" i="2"/>
  <c r="J6" i="2"/>
  <c r="K6" i="2"/>
  <c r="L6" i="2"/>
  <c r="C6" i="2"/>
  <c r="D12" i="1"/>
  <c r="E12" i="1"/>
  <c r="F12" i="1"/>
  <c r="G12" i="1"/>
  <c r="H12" i="1"/>
  <c r="I12" i="1"/>
  <c r="J12" i="1"/>
  <c r="K12" i="1"/>
  <c r="L12" i="1"/>
  <c r="C12" i="1"/>
  <c r="C18" i="1"/>
  <c r="D4" i="1"/>
  <c r="D5" i="1" s="1"/>
  <c r="D6" i="1"/>
  <c r="E6" i="1"/>
  <c r="F6" i="1"/>
  <c r="G6" i="1"/>
  <c r="C6" i="1"/>
  <c r="C7" i="1"/>
  <c r="C5" i="1"/>
  <c r="C4" i="1"/>
  <c r="C17" i="1"/>
  <c r="D14" i="2"/>
  <c r="E5" i="2"/>
  <c r="F5" i="2"/>
  <c r="D5" i="2"/>
  <c r="L27" i="3" l="1"/>
  <c r="L29" i="3" s="1"/>
  <c r="L30" i="3" s="1"/>
  <c r="L31" i="3" s="1"/>
  <c r="L32" i="3" s="1"/>
  <c r="I27" i="3"/>
  <c r="I29" i="3" s="1"/>
  <c r="I30" i="3" s="1"/>
  <c r="I31" i="3" s="1"/>
  <c r="I32" i="3" s="1"/>
  <c r="F27" i="3"/>
  <c r="F29" i="3" s="1"/>
  <c r="F30" i="3" s="1"/>
  <c r="F31" i="3" s="1"/>
  <c r="F32" i="3" s="1"/>
  <c r="H27" i="3"/>
  <c r="H29" i="3" s="1"/>
  <c r="H30" i="3" s="1"/>
  <c r="H31" i="3" s="1"/>
  <c r="H32" i="3" s="1"/>
  <c r="E27" i="3"/>
  <c r="E29" i="3" s="1"/>
  <c r="E30" i="3" s="1"/>
  <c r="E31" i="3" s="1"/>
  <c r="E32" i="3" s="1"/>
  <c r="E53" i="3" s="1"/>
  <c r="E54" i="3" s="1"/>
  <c r="J27" i="3"/>
  <c r="J29" i="3" s="1"/>
  <c r="J30" i="3" s="1"/>
  <c r="J31" i="3" s="1"/>
  <c r="J32" i="3" s="1"/>
  <c r="J53" i="3" s="1"/>
  <c r="J54" i="3" s="1"/>
  <c r="H53" i="3"/>
  <c r="H54" i="3" s="1"/>
  <c r="H34" i="3"/>
  <c r="D53" i="3"/>
  <c r="D54" i="3" s="1"/>
  <c r="D34" i="3"/>
  <c r="K53" i="3"/>
  <c r="K54" i="3" s="1"/>
  <c r="K34" i="3"/>
  <c r="L53" i="3"/>
  <c r="L54" i="3" s="1"/>
  <c r="L34" i="3"/>
  <c r="G53" i="3"/>
  <c r="G54" i="3" s="1"/>
  <c r="G34" i="3"/>
  <c r="I53" i="3"/>
  <c r="I54" i="3" s="1"/>
  <c r="I34" i="3"/>
  <c r="C27" i="3"/>
  <c r="C29" i="3" s="1"/>
  <c r="C30" i="3" s="1"/>
  <c r="C31" i="3" s="1"/>
  <c r="C32" i="3" s="1"/>
  <c r="C53" i="3" s="1"/>
  <c r="C54" i="3" s="1"/>
  <c r="F34" i="3"/>
  <c r="F53" i="3"/>
  <c r="F54" i="3" s="1"/>
  <c r="D7" i="1"/>
  <c r="E4" i="1" s="1"/>
  <c r="E34" i="3" l="1"/>
  <c r="J34" i="3"/>
  <c r="B57" i="3"/>
  <c r="C33" i="3"/>
  <c r="D33" i="3" s="1"/>
  <c r="E33" i="3" s="1"/>
  <c r="F33" i="3" s="1"/>
  <c r="G33" i="3" s="1"/>
  <c r="H33" i="3" s="1"/>
  <c r="I33" i="3" s="1"/>
  <c r="J33" i="3" s="1"/>
  <c r="K33" i="3" s="1"/>
  <c r="L33" i="3" s="1"/>
  <c r="C34" i="3"/>
  <c r="C35" i="3" s="1"/>
  <c r="D35" i="3" s="1"/>
  <c r="E5" i="1"/>
  <c r="E7" i="1"/>
  <c r="F4" i="1" s="1"/>
  <c r="E35" i="3" l="1"/>
  <c r="F35" i="3" s="1"/>
  <c r="G35" i="3" s="1"/>
  <c r="H35" i="3" s="1"/>
  <c r="I35" i="3" s="1"/>
  <c r="J35" i="3" s="1"/>
  <c r="K35" i="3" s="1"/>
  <c r="L35" i="3" s="1"/>
  <c r="B37" i="3"/>
  <c r="F5" i="1"/>
  <c r="F7" i="1"/>
  <c r="G4" i="1" s="1"/>
  <c r="G5" i="1" l="1"/>
  <c r="G7" i="1"/>
</calcChain>
</file>

<file path=xl/sharedStrings.xml><?xml version="1.0" encoding="utf-8"?>
<sst xmlns="http://schemas.openxmlformats.org/spreadsheetml/2006/main" count="96" uniqueCount="86">
  <si>
    <t>PROGAMACIÓN DE DEUDA (PRÉSTAMO PARA COMPRA DE MAQUINARIA)</t>
  </si>
  <si>
    <t>Concepto</t>
  </si>
  <si>
    <t>Deuda (al inicio del año)</t>
  </si>
  <si>
    <t>Intereses</t>
  </si>
  <si>
    <t>Pago</t>
  </si>
  <si>
    <t>Saldo al final del año</t>
  </si>
  <si>
    <t>DEPRECIACIÓN</t>
  </si>
  <si>
    <t>Depreciación maquinaria</t>
  </si>
  <si>
    <t>Datos de producción</t>
  </si>
  <si>
    <t>Hectáreas propias [ha]</t>
  </si>
  <si>
    <t>Hectáreas de agricultores [ha]</t>
  </si>
  <si>
    <t>Ciruelas a secar de agricultores [kg]</t>
  </si>
  <si>
    <t>Ciruelas desecadas producidas propias [kg]</t>
  </si>
  <si>
    <t>Ciruelas desecadas producidas de agricultores [kg]</t>
  </si>
  <si>
    <t>Ciruelas desecadas producidas total [kg]</t>
  </si>
  <si>
    <t>FLUJO DE FONDOS</t>
  </si>
  <si>
    <t>Inversión y capital de trabajo</t>
  </si>
  <si>
    <t>Inversión</t>
  </si>
  <si>
    <t>Capital de trabajo</t>
  </si>
  <si>
    <t>Recupero</t>
  </si>
  <si>
    <t>Préstamo</t>
  </si>
  <si>
    <t>Devolución de préstamo</t>
  </si>
  <si>
    <t>Costos</t>
  </si>
  <si>
    <t>Costos fijos indirectos:</t>
  </si>
  <si>
    <t>Costos fijos directos:</t>
  </si>
  <si>
    <t>Electricidad</t>
  </si>
  <si>
    <t>Costos variables:</t>
  </si>
  <si>
    <t>Cultivo de ciruelas propias</t>
  </si>
  <si>
    <t>Secado</t>
  </si>
  <si>
    <t>Costos totales</t>
  </si>
  <si>
    <t>Ingresos</t>
  </si>
  <si>
    <t>Venta de ciruelas desecadas propias</t>
  </si>
  <si>
    <t>Servicio de secado a agricultores</t>
  </si>
  <si>
    <t>Ingresos totales</t>
  </si>
  <si>
    <t>Cálculo impuesto a las ganancias</t>
  </si>
  <si>
    <t>Beneficios netos</t>
  </si>
  <si>
    <t>Depreciación de bienes</t>
  </si>
  <si>
    <t>Beneficios netos gravables</t>
  </si>
  <si>
    <t>Impuesto a las ganancias</t>
  </si>
  <si>
    <t>Beneficios netos despues de impuestos</t>
  </si>
  <si>
    <t>VPN después de impuestos:</t>
  </si>
  <si>
    <t>TIR:</t>
  </si>
  <si>
    <t>Período de repago simple:</t>
  </si>
  <si>
    <t>Período de repago actualizado:</t>
  </si>
  <si>
    <t>Flujo neto de fondos sin actualizar</t>
  </si>
  <si>
    <t xml:space="preserve">Flujo neto de fondos sin actualizar acumulado </t>
  </si>
  <si>
    <t>Flujo neto de fondos actualizado (TREMA)</t>
  </si>
  <si>
    <t>Flujo neto de fondos actualizado acumulado (TREMA)</t>
  </si>
  <si>
    <t>Ciruelas cosechadas propias [kg]</t>
  </si>
  <si>
    <t>Alquiler de parcela y galpón</t>
  </si>
  <si>
    <t xml:space="preserve">Sueldos (encargado y operarios) </t>
  </si>
  <si>
    <t>Sueldos (administrativo)</t>
  </si>
  <si>
    <t>Alquiler=</t>
  </si>
  <si>
    <t>$/mes</t>
  </si>
  <si>
    <t>Secado ext</t>
  </si>
  <si>
    <t>$/kg</t>
  </si>
  <si>
    <t>Costo x pord</t>
  </si>
  <si>
    <t>Costo proc</t>
  </si>
  <si>
    <t>PERSONAL</t>
  </si>
  <si>
    <t>Cargo</t>
  </si>
  <si>
    <t>Encargado</t>
  </si>
  <si>
    <t>sueldo x mes</t>
  </si>
  <si>
    <t>cantidad</t>
  </si>
  <si>
    <t>Operario</t>
  </si>
  <si>
    <t>Administ</t>
  </si>
  <si>
    <t>Prod ciruelas=</t>
  </si>
  <si>
    <t>kg/hec</t>
  </si>
  <si>
    <t>Ciruel dese=</t>
  </si>
  <si>
    <t>kg cir desec/kg ciruela</t>
  </si>
  <si>
    <t>Venta prod=</t>
  </si>
  <si>
    <t>valor de la maquina</t>
  </si>
  <si>
    <t>Anualidad=</t>
  </si>
  <si>
    <t>i=</t>
  </si>
  <si>
    <t>n=</t>
  </si>
  <si>
    <t>dk=</t>
  </si>
  <si>
    <t>SERVICIOS</t>
  </si>
  <si>
    <t>Electric</t>
  </si>
  <si>
    <t>Trema:</t>
  </si>
  <si>
    <t>CALCULO DE LA TIR</t>
  </si>
  <si>
    <t>TIR</t>
  </si>
  <si>
    <t>VPN</t>
  </si>
  <si>
    <t>PRs</t>
  </si>
  <si>
    <t>esto es -&gt; 6 años 3 meses 43.8 dias</t>
  </si>
  <si>
    <t>P Ra</t>
  </si>
  <si>
    <t>esto es -&gt; 9 años 13 dias</t>
  </si>
  <si>
    <t>Es conveniente realizar el proyecto debido a que la TIR&gt;TREMA. Ademas de obtener un VPN después de impuestos positivo.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</si>
</sst>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[$$-2C0A]\ #,##0;[Red]\-[$$-2C0A]\ #,##0"/>
    <numFmt numFmtId="165" formatCode="#,##0\ &quot;ha&quot;"/>
    <numFmt numFmtId="166" formatCode="#,##0_ ;[Red]\-#,##0\ "/>
    <numFmt numFmtId="167" formatCode="&quot;$&quot;\ #,##0.00"/>
    <numFmt numFmtId="168" formatCode="&quot;$&quot;\ #,##0"/>
    <numFmt numFmtId="169" formatCode="0.0000"/>
  </numFmts>
  <fonts count="12" x14ac:knownFonts="1">
    <font>
      <sz val="11"/>
      <color theme="1"/>
      <name val="Arial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sz val="11"/>
      <name val="Arial"/>
      <family val="2"/>
    </font>
    <font>
      <sz val="11"/>
      <color theme="1"/>
      <name val="Calibri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1"/>
      <color theme="1"/>
      <name val="Calibri"/>
      <family val="2"/>
    </font>
    <font>
      <sz val="11"/>
      <name val="Calibri"/>
      <family val="2"/>
    </font>
    <font>
      <sz val="11"/>
      <color theme="1"/>
      <name val="Calibri"/>
      <family val="2"/>
      <scheme val="major"/>
    </font>
    <font>
      <sz val="11"/>
      <name val="Calibri"/>
      <family val="2"/>
      <scheme val="major"/>
    </font>
    <font>
      <sz val="11"/>
      <color rgb="FFFF0000"/>
      <name val="Calibri"/>
      <family val="2"/>
      <scheme val="major"/>
    </font>
  </fonts>
  <fills count="9">
    <fill>
      <patternFill patternType="none"/>
    </fill>
    <fill>
      <patternFill patternType="gray125"/>
    </fill>
    <fill>
      <patternFill patternType="solid">
        <fgColor rgb="FF00B050"/>
        <bgColor rgb="FF00B050"/>
      </patternFill>
    </fill>
    <fill>
      <patternFill patternType="solid">
        <fgColor rgb="FFA5A5A5"/>
        <bgColor rgb="FFA5A5A5"/>
      </patternFill>
    </fill>
    <fill>
      <patternFill patternType="solid">
        <fgColor rgb="FFDEEAF6"/>
        <bgColor rgb="FFDEEAF6"/>
      </patternFill>
    </fill>
    <fill>
      <patternFill patternType="solid">
        <fgColor rgb="FFD8D8D8"/>
        <bgColor rgb="FFD8D8D8"/>
      </patternFill>
    </fill>
    <fill>
      <patternFill patternType="solid">
        <fgColor rgb="FFFFFF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5" tint="0.39997558519241921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</borders>
  <cellStyleXfs count="1">
    <xf numFmtId="0" fontId="0" fillId="0" borderId="0"/>
  </cellStyleXfs>
  <cellXfs count="74">
    <xf numFmtId="0" fontId="0" fillId="0" borderId="0" xfId="0" applyFont="1" applyAlignment="1"/>
    <xf numFmtId="0" fontId="1" fillId="0" borderId="0" xfId="0" applyFont="1"/>
    <xf numFmtId="0" fontId="2" fillId="2" borderId="3" xfId="0" applyFont="1" applyFill="1" applyBorder="1"/>
    <xf numFmtId="0" fontId="2" fillId="2" borderId="3" xfId="0" applyFont="1" applyFill="1" applyBorder="1" applyAlignment="1">
      <alignment horizontal="center"/>
    </xf>
    <xf numFmtId="164" fontId="4" fillId="0" borderId="0" xfId="0" applyNumberFormat="1" applyFont="1"/>
    <xf numFmtId="0" fontId="4" fillId="0" borderId="4" xfId="0" applyFont="1" applyBorder="1"/>
    <xf numFmtId="164" fontId="4" fillId="0" borderId="4" xfId="0" applyNumberFormat="1" applyFont="1" applyBorder="1"/>
    <xf numFmtId="0" fontId="4" fillId="0" borderId="5" xfId="0" applyFont="1" applyBorder="1"/>
    <xf numFmtId="164" fontId="4" fillId="0" borderId="5" xfId="0" applyNumberFormat="1" applyFont="1" applyBorder="1"/>
    <xf numFmtId="0" fontId="4" fillId="0" borderId="0" xfId="0" applyFont="1" applyAlignment="1">
      <alignment shrinkToFit="1"/>
    </xf>
    <xf numFmtId="165" fontId="4" fillId="0" borderId="0" xfId="0" applyNumberFormat="1" applyFont="1"/>
    <xf numFmtId="166" fontId="4" fillId="0" borderId="0" xfId="0" applyNumberFormat="1" applyFont="1"/>
    <xf numFmtId="0" fontId="4" fillId="0" borderId="4" xfId="0" applyFont="1" applyBorder="1" applyAlignment="1">
      <alignment shrinkToFit="1"/>
    </xf>
    <xf numFmtId="166" fontId="4" fillId="0" borderId="4" xfId="0" applyNumberFormat="1" applyFont="1" applyBorder="1"/>
    <xf numFmtId="0" fontId="4" fillId="4" borderId="6" xfId="0" applyFont="1" applyFill="1" applyBorder="1" applyAlignment="1">
      <alignment shrinkToFit="1"/>
    </xf>
    <xf numFmtId="164" fontId="5" fillId="4" borderId="6" xfId="0" applyNumberFormat="1" applyFont="1" applyFill="1" applyBorder="1"/>
    <xf numFmtId="164" fontId="4" fillId="4" borderId="6" xfId="0" applyNumberFormat="1" applyFont="1" applyFill="1" applyBorder="1"/>
    <xf numFmtId="0" fontId="4" fillId="4" borderId="3" xfId="0" applyFont="1" applyFill="1" applyBorder="1" applyAlignment="1">
      <alignment shrinkToFit="1"/>
    </xf>
    <xf numFmtId="164" fontId="4" fillId="4" borderId="3" xfId="0" applyNumberFormat="1" applyFont="1" applyFill="1" applyBorder="1"/>
    <xf numFmtId="0" fontId="4" fillId="5" borderId="6" xfId="0" applyFont="1" applyFill="1" applyBorder="1" applyAlignment="1">
      <alignment shrinkToFit="1"/>
    </xf>
    <xf numFmtId="164" fontId="4" fillId="5" borderId="6" xfId="0" applyNumberFormat="1" applyFont="1" applyFill="1" applyBorder="1"/>
    <xf numFmtId="0" fontId="4" fillId="0" borderId="0" xfId="0" applyFont="1"/>
    <xf numFmtId="0" fontId="2" fillId="0" borderId="4" xfId="0" applyFont="1" applyBorder="1"/>
    <xf numFmtId="164" fontId="2" fillId="0" borderId="4" xfId="0" applyNumberFormat="1" applyFont="1" applyBorder="1"/>
    <xf numFmtId="0" fontId="7" fillId="0" borderId="0" xfId="0" applyFont="1"/>
    <xf numFmtId="0" fontId="4" fillId="4" borderId="3" xfId="0" applyFont="1" applyFill="1" applyBorder="1"/>
    <xf numFmtId="0" fontId="2" fillId="0" borderId="0" xfId="0" applyFont="1" applyAlignment="1">
      <alignment shrinkToFit="1"/>
    </xf>
    <xf numFmtId="164" fontId="2" fillId="0" borderId="0" xfId="0" applyNumberFormat="1" applyFont="1"/>
    <xf numFmtId="0" fontId="6" fillId="0" borderId="0" xfId="0" applyFont="1" applyAlignment="1">
      <alignment horizontal="right"/>
    </xf>
    <xf numFmtId="0" fontId="3" fillId="0" borderId="0" xfId="0" applyFont="1"/>
    <xf numFmtId="0" fontId="1" fillId="0" borderId="0" xfId="0" applyFont="1" applyAlignment="1">
      <alignment shrinkToFit="1"/>
    </xf>
    <xf numFmtId="0" fontId="8" fillId="0" borderId="0" xfId="0" applyFont="1" applyAlignment="1">
      <alignment shrinkToFit="1"/>
    </xf>
    <xf numFmtId="0" fontId="5" fillId="0" borderId="0" xfId="0" applyFont="1" applyAlignment="1"/>
    <xf numFmtId="164" fontId="9" fillId="0" borderId="0" xfId="0" applyNumberFormat="1" applyFont="1"/>
    <xf numFmtId="164" fontId="9" fillId="0" borderId="4" xfId="0" applyNumberFormat="1" applyFont="1" applyBorder="1"/>
    <xf numFmtId="164" fontId="0" fillId="0" borderId="0" xfId="0" applyNumberFormat="1" applyFont="1" applyAlignment="1"/>
    <xf numFmtId="3" fontId="10" fillId="0" borderId="0" xfId="0" applyNumberFormat="1" applyFont="1"/>
    <xf numFmtId="3" fontId="9" fillId="0" borderId="0" xfId="0" applyNumberFormat="1" applyFont="1"/>
    <xf numFmtId="166" fontId="9" fillId="0" borderId="0" xfId="0" applyNumberFormat="1" applyFont="1"/>
    <xf numFmtId="166" fontId="9" fillId="0" borderId="4" xfId="0" applyNumberFormat="1" applyFont="1" applyBorder="1"/>
    <xf numFmtId="167" fontId="0" fillId="0" borderId="0" xfId="0" applyNumberFormat="1" applyFont="1" applyAlignment="1"/>
    <xf numFmtId="168" fontId="9" fillId="0" borderId="0" xfId="0" applyNumberFormat="1" applyFont="1" applyAlignment="1"/>
    <xf numFmtId="168" fontId="11" fillId="0" borderId="0" xfId="0" applyNumberFormat="1" applyFont="1" applyAlignment="1"/>
    <xf numFmtId="164" fontId="9" fillId="4" borderId="3" xfId="0" applyNumberFormat="1" applyFont="1" applyFill="1" applyBorder="1"/>
    <xf numFmtId="164" fontId="4" fillId="0" borderId="0" xfId="0" applyNumberFormat="1" applyFont="1" applyAlignment="1">
      <alignment horizontal="center"/>
    </xf>
    <xf numFmtId="164" fontId="4" fillId="5" borderId="6" xfId="0" applyNumberFormat="1" applyFont="1" applyFill="1" applyBorder="1" applyAlignment="1">
      <alignment horizontal="center"/>
    </xf>
    <xf numFmtId="168" fontId="11" fillId="0" borderId="0" xfId="0" applyNumberFormat="1" applyFont="1" applyAlignment="1">
      <alignment horizontal="center"/>
    </xf>
    <xf numFmtId="164" fontId="2" fillId="0" borderId="4" xfId="0" applyNumberFormat="1" applyFont="1" applyBorder="1" applyAlignment="1">
      <alignment horizontal="center"/>
    </xf>
    <xf numFmtId="164" fontId="4" fillId="0" borderId="0" xfId="0" applyNumberFormat="1" applyFont="1" applyAlignment="1">
      <alignment horizontal="center" vertical="center"/>
    </xf>
    <xf numFmtId="164" fontId="2" fillId="0" borderId="4" xfId="0" applyNumberFormat="1" applyFont="1" applyBorder="1" applyAlignment="1">
      <alignment horizontal="center" vertical="center"/>
    </xf>
    <xf numFmtId="164" fontId="4" fillId="4" borderId="3" xfId="0" applyNumberFormat="1" applyFont="1" applyFill="1" applyBorder="1" applyAlignment="1">
      <alignment horizontal="center" vertical="center"/>
    </xf>
    <xf numFmtId="164" fontId="4" fillId="0" borderId="0" xfId="0" applyNumberFormat="1" applyFont="1" applyAlignment="1">
      <alignment horizontal="center" vertical="top"/>
    </xf>
    <xf numFmtId="164" fontId="9" fillId="4" borderId="6" xfId="0" applyNumberFormat="1" applyFont="1" applyFill="1" applyBorder="1" applyAlignment="1">
      <alignment horizontal="center" vertical="center"/>
    </xf>
    <xf numFmtId="164" fontId="9" fillId="0" borderId="0" xfId="0" applyNumberFormat="1" applyFont="1" applyAlignment="1"/>
    <xf numFmtId="168" fontId="10" fillId="0" borderId="0" xfId="0" applyNumberFormat="1" applyFont="1" applyAlignment="1"/>
    <xf numFmtId="164" fontId="4" fillId="7" borderId="0" xfId="0" applyNumberFormat="1" applyFont="1" applyFill="1" applyAlignment="1">
      <alignment horizontal="center" vertical="center"/>
    </xf>
    <xf numFmtId="164" fontId="4" fillId="8" borderId="0" xfId="0" applyNumberFormat="1" applyFont="1" applyFill="1" applyAlignment="1">
      <alignment horizontal="center" vertical="center"/>
    </xf>
    <xf numFmtId="0" fontId="2" fillId="7" borderId="0" xfId="0" applyFont="1" applyFill="1" applyAlignment="1">
      <alignment shrinkToFit="1"/>
    </xf>
    <xf numFmtId="0" fontId="2" fillId="8" borderId="0" xfId="0" applyFont="1" applyFill="1" applyAlignment="1">
      <alignment shrinkToFit="1"/>
    </xf>
    <xf numFmtId="164" fontId="9" fillId="0" borderId="0" xfId="0" applyNumberFormat="1" applyFont="1" applyAlignment="1">
      <alignment horizontal="center" vertical="center"/>
    </xf>
    <xf numFmtId="0" fontId="9" fillId="0" borderId="0" xfId="0" applyFont="1" applyAlignment="1"/>
    <xf numFmtId="0" fontId="9" fillId="0" borderId="0" xfId="0" applyNumberFormat="1" applyFont="1" applyAlignment="1">
      <alignment horizontal="right"/>
    </xf>
    <xf numFmtId="0" fontId="9" fillId="0" borderId="0" xfId="0" applyNumberFormat="1" applyFont="1" applyAlignment="1"/>
    <xf numFmtId="0" fontId="6" fillId="0" borderId="0" xfId="0" applyFont="1" applyAlignment="1"/>
    <xf numFmtId="0" fontId="5" fillId="0" borderId="0" xfId="0" applyFont="1" applyAlignment="1">
      <alignment vertical="center"/>
    </xf>
    <xf numFmtId="0" fontId="10" fillId="0" borderId="0" xfId="0" applyFont="1" applyAlignment="1">
      <alignment shrinkToFit="1"/>
    </xf>
    <xf numFmtId="169" fontId="9" fillId="0" borderId="0" xfId="0" applyNumberFormat="1" applyFont="1" applyAlignment="1"/>
    <xf numFmtId="10" fontId="6" fillId="0" borderId="0" xfId="0" applyNumberFormat="1" applyFont="1"/>
    <xf numFmtId="0" fontId="2" fillId="2" borderId="1" xfId="0" applyFont="1" applyFill="1" applyBorder="1" applyAlignment="1">
      <alignment horizontal="center"/>
    </xf>
    <xf numFmtId="0" fontId="3" fillId="0" borderId="2" xfId="0" applyFont="1" applyBorder="1"/>
    <xf numFmtId="0" fontId="5" fillId="6" borderId="0" xfId="0" applyFont="1" applyFill="1" applyAlignment="1">
      <alignment horizontal="center" vertical="center" wrapText="1"/>
    </xf>
    <xf numFmtId="0" fontId="2" fillId="3" borderId="1" xfId="0" applyFont="1" applyFill="1" applyBorder="1" applyAlignment="1">
      <alignment horizontal="center"/>
    </xf>
    <xf numFmtId="0" fontId="2" fillId="3" borderId="7" xfId="0" applyFont="1" applyFill="1" applyBorder="1" applyAlignment="1">
      <alignment horizontal="center"/>
    </xf>
    <xf numFmtId="0" fontId="3" fillId="0" borderId="8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customschemas.google.com/relationships/workbookmetadata" Target="metadata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11" Type="http://schemas.openxmlformats.org/officeDocument/2006/relationships/calcChain" Target="calcChain.xml"/><Relationship Id="rId10" Type="http://schemas.openxmlformats.org/officeDocument/2006/relationships/sharedStrings" Target="sharedStrings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000"/>
  <sheetViews>
    <sheetView workbookViewId="0">
      <selection activeCell="F14" sqref="F14"/>
    </sheetView>
  </sheetViews>
  <sheetFormatPr baseColWidth="10" defaultColWidth="12.59765625" defaultRowHeight="15" customHeight="1" x14ac:dyDescent="0.25"/>
  <cols>
    <col min="1" max="1" width="31.19921875" customWidth="1"/>
    <col min="2" max="3" width="11.3984375" bestFit="1" customWidth="1"/>
    <col min="4" max="12" width="11.09765625" customWidth="1"/>
    <col min="13" max="26" width="9.3984375" customWidth="1"/>
  </cols>
  <sheetData>
    <row r="1" spans="1:12" ht="14.4" x14ac:dyDescent="0.3">
      <c r="B1" s="1"/>
    </row>
    <row r="2" spans="1:12" ht="14.4" x14ac:dyDescent="0.3">
      <c r="A2" s="68" t="s">
        <v>0</v>
      </c>
      <c r="B2" s="69"/>
      <c r="C2" s="69"/>
      <c r="D2" s="69"/>
      <c r="E2" s="69"/>
      <c r="F2" s="69"/>
      <c r="G2" s="69"/>
      <c r="H2" s="69"/>
      <c r="I2" s="69"/>
      <c r="J2" s="69"/>
      <c r="K2" s="69"/>
      <c r="L2" s="69"/>
    </row>
    <row r="3" spans="1:12" ht="14.4" x14ac:dyDescent="0.3">
      <c r="A3" s="2" t="s">
        <v>1</v>
      </c>
      <c r="B3" s="3">
        <v>0</v>
      </c>
      <c r="C3" s="3">
        <v>1</v>
      </c>
      <c r="D3" s="3">
        <v>2</v>
      </c>
      <c r="E3" s="3">
        <v>3</v>
      </c>
      <c r="F3" s="3">
        <v>4</v>
      </c>
      <c r="G3" s="3">
        <v>5</v>
      </c>
      <c r="H3" s="3">
        <v>6</v>
      </c>
      <c r="I3" s="3">
        <v>7</v>
      </c>
      <c r="J3" s="3">
        <v>8</v>
      </c>
      <c r="K3" s="3">
        <v>9</v>
      </c>
      <c r="L3" s="3">
        <v>10</v>
      </c>
    </row>
    <row r="4" spans="1:12" ht="14.4" x14ac:dyDescent="0.3">
      <c r="A4" s="1" t="s">
        <v>2</v>
      </c>
      <c r="B4" s="33"/>
      <c r="C4" s="33">
        <f>B7</f>
        <v>64800000</v>
      </c>
      <c r="D4" s="33">
        <f t="shared" ref="D4:G4" si="0">C7</f>
        <v>55189152.200492963</v>
      </c>
      <c r="E4" s="33">
        <f t="shared" si="0"/>
        <v>44136677.231059864</v>
      </c>
      <c r="F4" s="33">
        <f t="shared" si="0"/>
        <v>31426331.016211804</v>
      </c>
      <c r="G4" s="33">
        <f t="shared" si="0"/>
        <v>16809432.869136531</v>
      </c>
      <c r="H4" s="4">
        <v>0</v>
      </c>
      <c r="I4" s="4">
        <v>0</v>
      </c>
      <c r="J4" s="4">
        <v>0</v>
      </c>
      <c r="K4" s="4">
        <v>0</v>
      </c>
      <c r="L4" s="4">
        <v>0</v>
      </c>
    </row>
    <row r="5" spans="1:12" ht="14.4" x14ac:dyDescent="0.3">
      <c r="A5" s="1" t="s">
        <v>3</v>
      </c>
      <c r="B5" s="33"/>
      <c r="C5" s="33">
        <f>0.15*C4</f>
        <v>9720000</v>
      </c>
      <c r="D5" s="33">
        <f t="shared" ref="D5:G5" si="1">0.15*D4</f>
        <v>8278372.8300739443</v>
      </c>
      <c r="E5" s="33">
        <f t="shared" si="1"/>
        <v>6620501.5846589794</v>
      </c>
      <c r="F5" s="33">
        <f t="shared" si="1"/>
        <v>4713949.6524317702</v>
      </c>
      <c r="G5" s="33">
        <f t="shared" si="1"/>
        <v>2521414.9303704794</v>
      </c>
      <c r="H5" s="4">
        <v>0</v>
      </c>
      <c r="I5" s="4">
        <v>0</v>
      </c>
      <c r="J5" s="4">
        <v>0</v>
      </c>
      <c r="K5" s="4">
        <v>0</v>
      </c>
      <c r="L5" s="4">
        <v>0</v>
      </c>
    </row>
    <row r="6" spans="1:12" ht="14.4" x14ac:dyDescent="0.3">
      <c r="A6" s="1" t="s">
        <v>4</v>
      </c>
      <c r="B6" s="33"/>
      <c r="C6" s="33">
        <f>$C$17</f>
        <v>19330847.799507041</v>
      </c>
      <c r="D6" s="33">
        <f t="shared" ref="D6:G6" si="2">$C$17</f>
        <v>19330847.799507041</v>
      </c>
      <c r="E6" s="33">
        <f t="shared" si="2"/>
        <v>19330847.799507041</v>
      </c>
      <c r="F6" s="33">
        <f t="shared" si="2"/>
        <v>19330847.799507041</v>
      </c>
      <c r="G6" s="33">
        <f t="shared" si="2"/>
        <v>19330847.799507041</v>
      </c>
      <c r="H6" s="4">
        <v>0</v>
      </c>
      <c r="I6" s="4">
        <v>0</v>
      </c>
      <c r="J6" s="4">
        <v>0</v>
      </c>
      <c r="K6" s="4">
        <v>0</v>
      </c>
      <c r="L6" s="4">
        <v>0</v>
      </c>
    </row>
    <row r="7" spans="1:12" ht="14.4" x14ac:dyDescent="0.3">
      <c r="A7" s="5" t="s">
        <v>5</v>
      </c>
      <c r="B7" s="34">
        <v>64800000</v>
      </c>
      <c r="C7" s="34">
        <f>C4+C5-C6</f>
        <v>55189152.200492963</v>
      </c>
      <c r="D7" s="34">
        <f t="shared" ref="D7:G7" si="3">D4+D5-D6</f>
        <v>44136677.231059864</v>
      </c>
      <c r="E7" s="34">
        <f t="shared" si="3"/>
        <v>31426331.016211804</v>
      </c>
      <c r="F7" s="34">
        <f t="shared" si="3"/>
        <v>16809432.869136531</v>
      </c>
      <c r="G7" s="34">
        <f t="shared" si="3"/>
        <v>-2.9802322387695313E-8</v>
      </c>
      <c r="H7" s="6">
        <v>0</v>
      </c>
      <c r="I7" s="6">
        <v>0</v>
      </c>
      <c r="J7" s="6">
        <v>0</v>
      </c>
      <c r="K7" s="6">
        <v>0</v>
      </c>
      <c r="L7" s="6">
        <v>0</v>
      </c>
    </row>
    <row r="10" spans="1:12" ht="14.4" x14ac:dyDescent="0.3">
      <c r="A10" s="68" t="s">
        <v>6</v>
      </c>
      <c r="B10" s="69"/>
      <c r="C10" s="69"/>
      <c r="D10" s="69"/>
      <c r="E10" s="69"/>
      <c r="F10" s="69"/>
      <c r="G10" s="69"/>
      <c r="H10" s="69"/>
      <c r="I10" s="69"/>
      <c r="J10" s="69"/>
      <c r="K10" s="69"/>
      <c r="L10" s="69"/>
    </row>
    <row r="11" spans="1:12" ht="14.4" x14ac:dyDescent="0.3">
      <c r="A11" s="2" t="s">
        <v>1</v>
      </c>
      <c r="B11" s="3">
        <v>0</v>
      </c>
      <c r="C11" s="3">
        <v>1</v>
      </c>
      <c r="D11" s="3">
        <v>2</v>
      </c>
      <c r="E11" s="3">
        <v>3</v>
      </c>
      <c r="F11" s="3">
        <v>4</v>
      </c>
      <c r="G11" s="3">
        <v>5</v>
      </c>
      <c r="H11" s="3">
        <v>6</v>
      </c>
      <c r="I11" s="3">
        <v>7</v>
      </c>
      <c r="J11" s="3">
        <v>8</v>
      </c>
      <c r="K11" s="3">
        <v>9</v>
      </c>
      <c r="L11" s="3">
        <v>10</v>
      </c>
    </row>
    <row r="12" spans="1:12" ht="14.4" x14ac:dyDescent="0.3">
      <c r="A12" s="7" t="s">
        <v>7</v>
      </c>
      <c r="B12" s="8"/>
      <c r="C12" s="8">
        <f>-$C$18</f>
        <v>-4320000</v>
      </c>
      <c r="D12" s="8">
        <f t="shared" ref="D12:L12" si="4">-$C$18</f>
        <v>-4320000</v>
      </c>
      <c r="E12" s="8">
        <f t="shared" si="4"/>
        <v>-4320000</v>
      </c>
      <c r="F12" s="8">
        <f t="shared" si="4"/>
        <v>-4320000</v>
      </c>
      <c r="G12" s="8">
        <f t="shared" si="4"/>
        <v>-4320000</v>
      </c>
      <c r="H12" s="8">
        <f t="shared" si="4"/>
        <v>-4320000</v>
      </c>
      <c r="I12" s="8">
        <f t="shared" si="4"/>
        <v>-4320000</v>
      </c>
      <c r="J12" s="8">
        <f t="shared" si="4"/>
        <v>-4320000</v>
      </c>
      <c r="K12" s="8">
        <f t="shared" si="4"/>
        <v>-4320000</v>
      </c>
      <c r="L12" s="8">
        <f t="shared" si="4"/>
        <v>-4320000</v>
      </c>
    </row>
    <row r="15" spans="1:12" ht="15" customHeight="1" x14ac:dyDescent="0.3">
      <c r="B15" s="60" t="s">
        <v>73</v>
      </c>
      <c r="C15" s="60">
        <v>5</v>
      </c>
      <c r="D15" s="60"/>
    </row>
    <row r="16" spans="1:12" ht="15" customHeight="1" x14ac:dyDescent="0.3">
      <c r="B16" s="60" t="s">
        <v>72</v>
      </c>
      <c r="C16" s="60">
        <v>0.15</v>
      </c>
      <c r="D16" s="60"/>
    </row>
    <row r="17" spans="2:5" ht="15" customHeight="1" x14ac:dyDescent="0.3">
      <c r="B17" s="60" t="s">
        <v>71</v>
      </c>
      <c r="C17" s="60">
        <f>B7*((C16*((1+C16)^C15)))/(((1+C16)^C15)-1)</f>
        <v>19330847.799507041</v>
      </c>
      <c r="D17" s="60"/>
    </row>
    <row r="18" spans="2:5" ht="15" customHeight="1" x14ac:dyDescent="0.3">
      <c r="B18" s="60" t="s">
        <v>74</v>
      </c>
      <c r="C18" s="53">
        <f>B7/15</f>
        <v>4320000</v>
      </c>
      <c r="D18" s="60"/>
      <c r="E18" s="35"/>
    </row>
    <row r="19" spans="2:5" ht="15" customHeight="1" x14ac:dyDescent="0.3">
      <c r="B19" s="60"/>
      <c r="C19" s="60"/>
      <c r="D19" s="60"/>
    </row>
    <row r="21" spans="2:5" ht="15.75" customHeight="1" x14ac:dyDescent="0.25"/>
    <row r="22" spans="2:5" ht="15.75" customHeight="1" x14ac:dyDescent="0.25"/>
    <row r="23" spans="2:5" ht="15.75" customHeight="1" x14ac:dyDescent="0.25"/>
    <row r="24" spans="2:5" ht="15.75" customHeight="1" x14ac:dyDescent="0.25"/>
    <row r="25" spans="2:5" ht="15.75" customHeight="1" x14ac:dyDescent="0.25"/>
    <row r="26" spans="2:5" ht="15.75" customHeight="1" x14ac:dyDescent="0.25"/>
    <row r="27" spans="2:5" ht="15.75" customHeight="1" x14ac:dyDescent="0.25"/>
    <row r="28" spans="2:5" ht="15.75" customHeight="1" x14ac:dyDescent="0.25"/>
    <row r="29" spans="2:5" ht="15.75" customHeight="1" x14ac:dyDescent="0.25"/>
    <row r="30" spans="2:5" ht="15.75" customHeight="1" x14ac:dyDescent="0.25"/>
    <row r="31" spans="2:5" ht="15.75" customHeight="1" x14ac:dyDescent="0.25"/>
    <row r="32" spans="2:5" ht="15.75" customHeight="1" x14ac:dyDescent="0.25"/>
    <row r="33" ht="15.75" customHeight="1" x14ac:dyDescent="0.25"/>
    <row r="34" ht="15.75" customHeight="1" x14ac:dyDescent="0.25"/>
    <row r="35" ht="15.75" customHeight="1" x14ac:dyDescent="0.25"/>
    <row r="36" ht="15.75" customHeight="1" x14ac:dyDescent="0.25"/>
    <row r="37" ht="15.75" customHeight="1" x14ac:dyDescent="0.25"/>
    <row r="38" ht="15.75" customHeight="1" x14ac:dyDescent="0.25"/>
    <row r="39" ht="15.75" customHeight="1" x14ac:dyDescent="0.25"/>
    <row r="40" ht="15.75" customHeight="1" x14ac:dyDescent="0.25"/>
    <row r="41" ht="15.75" customHeight="1" x14ac:dyDescent="0.25"/>
    <row r="42" ht="15.75" customHeight="1" x14ac:dyDescent="0.25"/>
    <row r="43" ht="15.75" customHeight="1" x14ac:dyDescent="0.25"/>
    <row r="44" ht="15.75" customHeight="1" x14ac:dyDescent="0.25"/>
    <row r="45" ht="15.75" customHeight="1" x14ac:dyDescent="0.25"/>
    <row r="46" ht="15.75" customHeight="1" x14ac:dyDescent="0.25"/>
    <row r="47" ht="15.75" customHeight="1" x14ac:dyDescent="0.25"/>
    <row r="48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mergeCells count="2">
    <mergeCell ref="A2:L2"/>
    <mergeCell ref="A10:L10"/>
  </mergeCells>
  <pageMargins left="0.7" right="0.7" top="0.75" bottom="0.75" header="0" footer="0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1000"/>
  <sheetViews>
    <sheetView workbookViewId="0">
      <selection activeCell="D19" sqref="D19"/>
    </sheetView>
  </sheetViews>
  <sheetFormatPr baseColWidth="10" defaultColWidth="12.59765625" defaultRowHeight="15" customHeight="1" x14ac:dyDescent="0.25"/>
  <cols>
    <col min="1" max="1" width="40.19921875" bestFit="1" customWidth="1"/>
    <col min="2" max="12" width="11.09765625" customWidth="1"/>
    <col min="13" max="26" width="9.3984375" customWidth="1"/>
  </cols>
  <sheetData>
    <row r="2" spans="1:12" ht="14.4" x14ac:dyDescent="0.3">
      <c r="A2" s="68" t="s">
        <v>8</v>
      </c>
      <c r="B2" s="69"/>
      <c r="C2" s="69"/>
      <c r="D2" s="69"/>
      <c r="E2" s="69"/>
      <c r="F2" s="69"/>
      <c r="G2" s="69"/>
      <c r="H2" s="69"/>
      <c r="I2" s="69"/>
      <c r="J2" s="69"/>
      <c r="K2" s="69"/>
      <c r="L2" s="69"/>
    </row>
    <row r="3" spans="1:12" ht="14.4" x14ac:dyDescent="0.3">
      <c r="A3" s="2" t="s">
        <v>1</v>
      </c>
      <c r="B3" s="3">
        <v>0</v>
      </c>
      <c r="C3" s="3">
        <v>1</v>
      </c>
      <c r="D3" s="3">
        <v>2</v>
      </c>
      <c r="E3" s="3">
        <v>3</v>
      </c>
      <c r="F3" s="3">
        <v>4</v>
      </c>
      <c r="G3" s="3">
        <v>5</v>
      </c>
      <c r="H3" s="3">
        <v>6</v>
      </c>
      <c r="I3" s="3">
        <v>7</v>
      </c>
      <c r="J3" s="3">
        <v>8</v>
      </c>
      <c r="K3" s="3">
        <v>9</v>
      </c>
      <c r="L3" s="3">
        <v>10</v>
      </c>
    </row>
    <row r="4" spans="1:12" ht="14.4" x14ac:dyDescent="0.3">
      <c r="A4" s="9" t="s">
        <v>9</v>
      </c>
      <c r="B4" s="10"/>
      <c r="C4" s="36">
        <v>200</v>
      </c>
      <c r="D4" s="36">
        <v>200</v>
      </c>
      <c r="E4" s="36">
        <v>200</v>
      </c>
      <c r="F4" s="36">
        <v>200</v>
      </c>
      <c r="G4" s="36">
        <v>200</v>
      </c>
      <c r="H4" s="36">
        <v>200</v>
      </c>
      <c r="I4" s="36">
        <v>200</v>
      </c>
      <c r="J4" s="36">
        <v>200</v>
      </c>
      <c r="K4" s="36">
        <v>200</v>
      </c>
      <c r="L4" s="36">
        <v>200</v>
      </c>
    </row>
    <row r="5" spans="1:12" ht="14.4" x14ac:dyDescent="0.3">
      <c r="A5" s="9" t="s">
        <v>10</v>
      </c>
      <c r="B5" s="10"/>
      <c r="C5" s="36">
        <v>500</v>
      </c>
      <c r="D5" s="37">
        <f>1.2*C5</f>
        <v>600</v>
      </c>
      <c r="E5" s="37">
        <f t="shared" ref="E5:F5" si="0">1.2*D5</f>
        <v>720</v>
      </c>
      <c r="F5" s="37">
        <f t="shared" si="0"/>
        <v>864</v>
      </c>
      <c r="G5" s="37">
        <v>1000</v>
      </c>
      <c r="H5" s="37">
        <v>1000</v>
      </c>
      <c r="I5" s="37">
        <v>1000</v>
      </c>
      <c r="J5" s="37">
        <v>1000</v>
      </c>
      <c r="K5" s="37">
        <v>1000</v>
      </c>
      <c r="L5" s="37">
        <v>1000</v>
      </c>
    </row>
    <row r="6" spans="1:12" ht="14.4" x14ac:dyDescent="0.3">
      <c r="A6" s="30" t="s">
        <v>48</v>
      </c>
      <c r="B6" s="11"/>
      <c r="C6" s="38">
        <f>C4*$D$13</f>
        <v>1100000</v>
      </c>
      <c r="D6" s="38">
        <f t="shared" ref="D6:L6" si="1">D4*$D$13</f>
        <v>1100000</v>
      </c>
      <c r="E6" s="38">
        <f t="shared" si="1"/>
        <v>1100000</v>
      </c>
      <c r="F6" s="38">
        <f t="shared" si="1"/>
        <v>1100000</v>
      </c>
      <c r="G6" s="38">
        <f t="shared" si="1"/>
        <v>1100000</v>
      </c>
      <c r="H6" s="38">
        <f t="shared" si="1"/>
        <v>1100000</v>
      </c>
      <c r="I6" s="38">
        <f t="shared" si="1"/>
        <v>1100000</v>
      </c>
      <c r="J6" s="38">
        <f t="shared" si="1"/>
        <v>1100000</v>
      </c>
      <c r="K6" s="38">
        <f t="shared" si="1"/>
        <v>1100000</v>
      </c>
      <c r="L6" s="38">
        <f t="shared" si="1"/>
        <v>1100000</v>
      </c>
    </row>
    <row r="7" spans="1:12" ht="14.4" x14ac:dyDescent="0.3">
      <c r="A7" s="9" t="s">
        <v>11</v>
      </c>
      <c r="B7" s="11"/>
      <c r="C7" s="38">
        <f>C5*$D$13</f>
        <v>2750000</v>
      </c>
      <c r="D7" s="38">
        <f t="shared" ref="D7:L7" si="2">D5*$D$13</f>
        <v>3300000</v>
      </c>
      <c r="E7" s="38">
        <f t="shared" si="2"/>
        <v>3960000</v>
      </c>
      <c r="F7" s="38">
        <f t="shared" si="2"/>
        <v>4752000</v>
      </c>
      <c r="G7" s="38">
        <f t="shared" si="2"/>
        <v>5500000</v>
      </c>
      <c r="H7" s="38">
        <f t="shared" si="2"/>
        <v>5500000</v>
      </c>
      <c r="I7" s="38">
        <f t="shared" si="2"/>
        <v>5500000</v>
      </c>
      <c r="J7" s="38">
        <f t="shared" si="2"/>
        <v>5500000</v>
      </c>
      <c r="K7" s="38">
        <f t="shared" si="2"/>
        <v>5500000</v>
      </c>
      <c r="L7" s="38">
        <f t="shared" si="2"/>
        <v>5500000</v>
      </c>
    </row>
    <row r="8" spans="1:12" ht="14.4" x14ac:dyDescent="0.3">
      <c r="A8" s="9" t="s">
        <v>12</v>
      </c>
      <c r="B8" s="11"/>
      <c r="C8" s="38">
        <f>C6*$D$14</f>
        <v>220000</v>
      </c>
      <c r="D8" s="38">
        <f t="shared" ref="D8:L8" si="3">D6*$D$14</f>
        <v>220000</v>
      </c>
      <c r="E8" s="38">
        <f t="shared" si="3"/>
        <v>220000</v>
      </c>
      <c r="F8" s="38">
        <f t="shared" si="3"/>
        <v>220000</v>
      </c>
      <c r="G8" s="38">
        <f t="shared" si="3"/>
        <v>220000</v>
      </c>
      <c r="H8" s="38">
        <f t="shared" si="3"/>
        <v>220000</v>
      </c>
      <c r="I8" s="38">
        <f t="shared" si="3"/>
        <v>220000</v>
      </c>
      <c r="J8" s="38">
        <f t="shared" si="3"/>
        <v>220000</v>
      </c>
      <c r="K8" s="38">
        <f t="shared" si="3"/>
        <v>220000</v>
      </c>
      <c r="L8" s="38">
        <f t="shared" si="3"/>
        <v>220000</v>
      </c>
    </row>
    <row r="9" spans="1:12" ht="14.4" x14ac:dyDescent="0.3">
      <c r="A9" s="9" t="s">
        <v>13</v>
      </c>
      <c r="B9" s="11"/>
      <c r="C9" s="38">
        <f>C7*$D$14</f>
        <v>550000</v>
      </c>
      <c r="D9" s="38">
        <f t="shared" ref="D9:L9" si="4">D7*$D$14</f>
        <v>660000</v>
      </c>
      <c r="E9" s="38">
        <f t="shared" si="4"/>
        <v>792000</v>
      </c>
      <c r="F9" s="38">
        <f t="shared" si="4"/>
        <v>950400</v>
      </c>
      <c r="G9" s="38">
        <f t="shared" si="4"/>
        <v>1100000</v>
      </c>
      <c r="H9" s="38">
        <f t="shared" si="4"/>
        <v>1100000</v>
      </c>
      <c r="I9" s="38">
        <f t="shared" si="4"/>
        <v>1100000</v>
      </c>
      <c r="J9" s="38">
        <f t="shared" si="4"/>
        <v>1100000</v>
      </c>
      <c r="K9" s="38">
        <f t="shared" si="4"/>
        <v>1100000</v>
      </c>
      <c r="L9" s="38">
        <f t="shared" si="4"/>
        <v>1100000</v>
      </c>
    </row>
    <row r="10" spans="1:12" ht="14.4" x14ac:dyDescent="0.3">
      <c r="A10" s="12" t="s">
        <v>14</v>
      </c>
      <c r="B10" s="13"/>
      <c r="C10" s="39">
        <f>C9+C8</f>
        <v>770000</v>
      </c>
      <c r="D10" s="39">
        <f t="shared" ref="D10:L10" si="5">D9+D8</f>
        <v>880000</v>
      </c>
      <c r="E10" s="39">
        <f t="shared" si="5"/>
        <v>1012000</v>
      </c>
      <c r="F10" s="39">
        <f t="shared" si="5"/>
        <v>1170400</v>
      </c>
      <c r="G10" s="39">
        <f t="shared" si="5"/>
        <v>1320000</v>
      </c>
      <c r="H10" s="39">
        <f t="shared" si="5"/>
        <v>1320000</v>
      </c>
      <c r="I10" s="39">
        <f t="shared" si="5"/>
        <v>1320000</v>
      </c>
      <c r="J10" s="39">
        <f t="shared" si="5"/>
        <v>1320000</v>
      </c>
      <c r="K10" s="39">
        <f t="shared" si="5"/>
        <v>1320000</v>
      </c>
      <c r="L10" s="39">
        <f t="shared" si="5"/>
        <v>1320000</v>
      </c>
    </row>
    <row r="11" spans="1:12" ht="14.4" x14ac:dyDescent="0.3"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</row>
    <row r="13" spans="1:12" ht="15" customHeight="1" x14ac:dyDescent="0.3">
      <c r="B13" s="60" t="s">
        <v>65</v>
      </c>
      <c r="C13" s="60"/>
      <c r="D13" s="60">
        <v>5500</v>
      </c>
      <c r="E13" s="60" t="s">
        <v>66</v>
      </c>
      <c r="F13" s="60"/>
    </row>
    <row r="14" spans="1:12" ht="15" customHeight="1" x14ac:dyDescent="0.3">
      <c r="B14" s="60" t="s">
        <v>67</v>
      </c>
      <c r="C14" s="60"/>
      <c r="D14" s="62">
        <f>0.2</f>
        <v>0.2</v>
      </c>
      <c r="E14" s="60" t="s">
        <v>68</v>
      </c>
      <c r="F14" s="60"/>
    </row>
    <row r="21" ht="15.75" customHeight="1" x14ac:dyDescent="0.25"/>
    <row r="22" ht="15.75" customHeight="1" x14ac:dyDescent="0.25"/>
    <row r="23" ht="15.75" customHeight="1" x14ac:dyDescent="0.25"/>
    <row r="24" ht="15.75" customHeight="1" x14ac:dyDescent="0.25"/>
    <row r="25" ht="15.75" customHeight="1" x14ac:dyDescent="0.25"/>
    <row r="26" ht="15.75" customHeight="1" x14ac:dyDescent="0.25"/>
    <row r="27" ht="15.75" customHeight="1" x14ac:dyDescent="0.25"/>
    <row r="28" ht="15.75" customHeight="1" x14ac:dyDescent="0.25"/>
    <row r="29" ht="15.75" customHeight="1" x14ac:dyDescent="0.25"/>
    <row r="30" ht="15.75" customHeight="1" x14ac:dyDescent="0.25"/>
    <row r="31" ht="15.75" customHeight="1" x14ac:dyDescent="0.25"/>
    <row r="32" ht="15.75" customHeight="1" x14ac:dyDescent="0.25"/>
    <row r="33" ht="15.75" customHeight="1" x14ac:dyDescent="0.25"/>
    <row r="34" ht="15.75" customHeight="1" x14ac:dyDescent="0.25"/>
    <row r="35" ht="15.75" customHeight="1" x14ac:dyDescent="0.25"/>
    <row r="36" ht="15.75" customHeight="1" x14ac:dyDescent="0.25"/>
    <row r="37" ht="15.75" customHeight="1" x14ac:dyDescent="0.25"/>
    <row r="38" ht="15.75" customHeight="1" x14ac:dyDescent="0.25"/>
    <row r="39" ht="15.75" customHeight="1" x14ac:dyDescent="0.25"/>
    <row r="40" ht="15.75" customHeight="1" x14ac:dyDescent="0.25"/>
    <row r="41" ht="15.75" customHeight="1" x14ac:dyDescent="0.25"/>
    <row r="42" ht="15.75" customHeight="1" x14ac:dyDescent="0.25"/>
    <row r="43" ht="15.75" customHeight="1" x14ac:dyDescent="0.25"/>
    <row r="44" ht="15.75" customHeight="1" x14ac:dyDescent="0.25"/>
    <row r="45" ht="15.75" customHeight="1" x14ac:dyDescent="0.25"/>
    <row r="46" ht="15.75" customHeight="1" x14ac:dyDescent="0.25"/>
    <row r="47" ht="15.75" customHeight="1" x14ac:dyDescent="0.25"/>
    <row r="48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mergeCells count="1">
    <mergeCell ref="A2:L2"/>
  </mergeCells>
  <pageMargins left="0.7" right="0.7" top="0.75" bottom="0.75" header="0" footer="0"/>
  <pageSetup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Z1001"/>
  <sheetViews>
    <sheetView tabSelected="1" topLeftCell="A13" workbookViewId="0">
      <selection activeCell="C31" sqref="C31"/>
    </sheetView>
  </sheetViews>
  <sheetFormatPr baseColWidth="10" defaultColWidth="12.59765625" defaultRowHeight="15" customHeight="1" x14ac:dyDescent="0.25"/>
  <cols>
    <col min="1" max="1" width="42.59765625" bestFit="1" customWidth="1"/>
    <col min="2" max="2" width="14.5" bestFit="1" customWidth="1"/>
    <col min="3" max="3" width="13.09765625" bestFit="1" customWidth="1"/>
    <col min="4" max="12" width="11.09765625" customWidth="1"/>
    <col min="13" max="13" width="10.19921875" bestFit="1" customWidth="1"/>
    <col min="14" max="26" width="9.3984375" customWidth="1"/>
  </cols>
  <sheetData>
    <row r="2" spans="1:14" ht="14.4" x14ac:dyDescent="0.3">
      <c r="A2" s="68" t="s">
        <v>15</v>
      </c>
      <c r="B2" s="69"/>
      <c r="C2" s="69"/>
      <c r="D2" s="69"/>
      <c r="E2" s="69"/>
      <c r="F2" s="69"/>
      <c r="G2" s="69"/>
      <c r="H2" s="69"/>
      <c r="I2" s="69"/>
      <c r="J2" s="69"/>
      <c r="K2" s="69"/>
      <c r="L2" s="69"/>
    </row>
    <row r="3" spans="1:14" ht="14.4" x14ac:dyDescent="0.3">
      <c r="A3" s="2" t="s">
        <v>1</v>
      </c>
      <c r="B3" s="3">
        <v>0</v>
      </c>
      <c r="C3" s="3">
        <v>1</v>
      </c>
      <c r="D3" s="3">
        <v>2</v>
      </c>
      <c r="E3" s="3">
        <v>3</v>
      </c>
      <c r="F3" s="3">
        <v>4</v>
      </c>
      <c r="G3" s="3">
        <v>5</v>
      </c>
      <c r="H3" s="3">
        <v>6</v>
      </c>
      <c r="I3" s="3">
        <v>7</v>
      </c>
      <c r="J3" s="3">
        <v>8</v>
      </c>
      <c r="K3" s="3">
        <v>9</v>
      </c>
      <c r="L3" s="3">
        <v>10</v>
      </c>
    </row>
    <row r="4" spans="1:14" ht="14.4" x14ac:dyDescent="0.3">
      <c r="A4" s="71" t="s">
        <v>16</v>
      </c>
      <c r="B4" s="69"/>
      <c r="C4" s="69"/>
      <c r="D4" s="69"/>
      <c r="E4" s="69"/>
      <c r="F4" s="69"/>
      <c r="G4" s="69"/>
      <c r="H4" s="69"/>
      <c r="I4" s="69"/>
      <c r="J4" s="69"/>
      <c r="K4" s="69"/>
      <c r="L4" s="69"/>
    </row>
    <row r="5" spans="1:14" ht="14.4" x14ac:dyDescent="0.3">
      <c r="A5" s="14" t="s">
        <v>17</v>
      </c>
      <c r="B5" s="15"/>
      <c r="C5" s="16"/>
      <c r="D5" s="16"/>
      <c r="E5" s="16"/>
      <c r="F5" s="16"/>
      <c r="G5" s="16"/>
      <c r="H5" s="16"/>
      <c r="I5" s="16"/>
      <c r="J5" s="16"/>
      <c r="K5" s="16"/>
      <c r="L5" s="16"/>
    </row>
    <row r="6" spans="1:14" ht="14.4" x14ac:dyDescent="0.3">
      <c r="A6" s="14" t="s">
        <v>18</v>
      </c>
      <c r="B6" s="52">
        <v>-2160000</v>
      </c>
      <c r="C6" s="16"/>
      <c r="D6" s="16"/>
      <c r="E6" s="16"/>
      <c r="F6" s="16"/>
      <c r="G6" s="16"/>
      <c r="H6" s="16"/>
      <c r="I6" s="16"/>
      <c r="J6" s="16"/>
      <c r="K6" s="16"/>
      <c r="L6" s="15"/>
    </row>
    <row r="7" spans="1:14" ht="14.4" x14ac:dyDescent="0.3">
      <c r="A7" s="17" t="s">
        <v>19</v>
      </c>
      <c r="B7" s="18"/>
      <c r="C7" s="18"/>
      <c r="D7" s="18"/>
      <c r="E7" s="18"/>
      <c r="F7" s="18"/>
      <c r="G7" s="18"/>
      <c r="H7" s="18"/>
      <c r="I7" s="18"/>
      <c r="J7" s="18"/>
      <c r="K7" s="18"/>
      <c r="L7" s="43">
        <f>M7-B6</f>
        <v>23760000</v>
      </c>
      <c r="M7" s="41">
        <v>21600000</v>
      </c>
      <c r="N7" s="60" t="s">
        <v>70</v>
      </c>
    </row>
    <row r="8" spans="1:14" ht="14.4" x14ac:dyDescent="0.3">
      <c r="A8" s="71" t="s">
        <v>20</v>
      </c>
      <c r="B8" s="69"/>
      <c r="C8" s="69"/>
      <c r="D8" s="69"/>
      <c r="E8" s="69"/>
      <c r="F8" s="69"/>
      <c r="G8" s="69"/>
      <c r="H8" s="69"/>
      <c r="I8" s="69"/>
      <c r="J8" s="69"/>
      <c r="K8" s="69"/>
      <c r="L8" s="69"/>
    </row>
    <row r="9" spans="1:14" ht="14.4" x14ac:dyDescent="0.3">
      <c r="A9" s="14" t="s">
        <v>20</v>
      </c>
      <c r="B9" s="52">
        <v>64800000</v>
      </c>
      <c r="C9" s="16"/>
      <c r="D9" s="16"/>
      <c r="E9" s="16"/>
      <c r="F9" s="16"/>
      <c r="G9" s="16"/>
      <c r="H9" s="16"/>
      <c r="I9" s="16"/>
      <c r="J9" s="16"/>
      <c r="K9" s="16"/>
      <c r="L9" s="16"/>
    </row>
    <row r="10" spans="1:14" ht="14.4" x14ac:dyDescent="0.3">
      <c r="A10" s="17" t="s">
        <v>21</v>
      </c>
      <c r="B10" s="18"/>
      <c r="C10" s="50">
        <f>-'Prestamo&amp;Depreciacion'!C6</f>
        <v>-19330847.799507041</v>
      </c>
      <c r="D10" s="50">
        <f>-'Prestamo&amp;Depreciacion'!D6</f>
        <v>-19330847.799507041</v>
      </c>
      <c r="E10" s="50">
        <f>-'Prestamo&amp;Depreciacion'!E6</f>
        <v>-19330847.799507041</v>
      </c>
      <c r="F10" s="50">
        <f>-'Prestamo&amp;Depreciacion'!F6</f>
        <v>-19330847.799507041</v>
      </c>
      <c r="G10" s="50">
        <f>-'Prestamo&amp;Depreciacion'!G6</f>
        <v>-19330847.799507041</v>
      </c>
      <c r="H10" s="50">
        <f>-'Prestamo&amp;Depreciacion'!H6</f>
        <v>0</v>
      </c>
      <c r="I10" s="50">
        <f>-'Prestamo&amp;Depreciacion'!I6</f>
        <v>0</v>
      </c>
      <c r="J10" s="50">
        <f>-'Prestamo&amp;Depreciacion'!J6</f>
        <v>0</v>
      </c>
      <c r="K10" s="50">
        <f>-'Prestamo&amp;Depreciacion'!K6</f>
        <v>0</v>
      </c>
      <c r="L10" s="50">
        <f>-'Prestamo&amp;Depreciacion'!L6</f>
        <v>0</v>
      </c>
    </row>
    <row r="11" spans="1:14" ht="14.4" x14ac:dyDescent="0.3">
      <c r="A11" s="72" t="s">
        <v>22</v>
      </c>
      <c r="B11" s="73"/>
      <c r="C11" s="73"/>
      <c r="D11" s="73"/>
      <c r="E11" s="73"/>
      <c r="F11" s="73"/>
      <c r="G11" s="73"/>
      <c r="H11" s="73"/>
      <c r="I11" s="73"/>
      <c r="J11" s="73"/>
      <c r="K11" s="73"/>
      <c r="L11" s="73"/>
    </row>
    <row r="12" spans="1:14" ht="14.4" x14ac:dyDescent="0.3">
      <c r="A12" s="19" t="s">
        <v>23</v>
      </c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</row>
    <row r="13" spans="1:14" ht="14.4" x14ac:dyDescent="0.3">
      <c r="A13" s="1" t="s">
        <v>49</v>
      </c>
      <c r="B13" s="4"/>
      <c r="C13" s="44">
        <f>-12*$L$37</f>
        <v>-2376000</v>
      </c>
      <c r="D13" s="44">
        <f t="shared" ref="D13:L13" si="0">-12*$L$37</f>
        <v>-2376000</v>
      </c>
      <c r="E13" s="44">
        <f t="shared" si="0"/>
        <v>-2376000</v>
      </c>
      <c r="F13" s="44">
        <f t="shared" si="0"/>
        <v>-2376000</v>
      </c>
      <c r="G13" s="44">
        <f t="shared" si="0"/>
        <v>-2376000</v>
      </c>
      <c r="H13" s="44">
        <f t="shared" si="0"/>
        <v>-2376000</v>
      </c>
      <c r="I13" s="44">
        <f t="shared" si="0"/>
        <v>-2376000</v>
      </c>
      <c r="J13" s="44">
        <f t="shared" si="0"/>
        <v>-2376000</v>
      </c>
      <c r="K13" s="44">
        <f t="shared" si="0"/>
        <v>-2376000</v>
      </c>
      <c r="L13" s="44">
        <f t="shared" si="0"/>
        <v>-2376000</v>
      </c>
    </row>
    <row r="14" spans="1:14" ht="14.4" x14ac:dyDescent="0.3">
      <c r="A14" s="1" t="s">
        <v>51</v>
      </c>
      <c r="B14" s="4"/>
      <c r="C14" s="44">
        <f t="shared" ref="C14:L14" si="1">-$L$46*12*$M$46</f>
        <v>-2116800</v>
      </c>
      <c r="D14" s="44">
        <f t="shared" si="1"/>
        <v>-2116800</v>
      </c>
      <c r="E14" s="44">
        <f t="shared" si="1"/>
        <v>-2116800</v>
      </c>
      <c r="F14" s="44">
        <f t="shared" si="1"/>
        <v>-2116800</v>
      </c>
      <c r="G14" s="44">
        <f t="shared" si="1"/>
        <v>-2116800</v>
      </c>
      <c r="H14" s="44">
        <f t="shared" si="1"/>
        <v>-2116800</v>
      </c>
      <c r="I14" s="44">
        <f t="shared" si="1"/>
        <v>-2116800</v>
      </c>
      <c r="J14" s="44">
        <f t="shared" si="1"/>
        <v>-2116800</v>
      </c>
      <c r="K14" s="44">
        <f t="shared" si="1"/>
        <v>-2116800</v>
      </c>
      <c r="L14" s="44">
        <f t="shared" si="1"/>
        <v>-2116800</v>
      </c>
    </row>
    <row r="15" spans="1:14" ht="14.4" x14ac:dyDescent="0.3">
      <c r="A15" s="19" t="s">
        <v>24</v>
      </c>
      <c r="B15" s="20"/>
      <c r="C15" s="45"/>
      <c r="D15" s="45"/>
      <c r="E15" s="45"/>
      <c r="F15" s="45"/>
      <c r="G15" s="45"/>
      <c r="H15" s="45"/>
      <c r="I15" s="45"/>
      <c r="J15" s="45"/>
      <c r="K15" s="45"/>
      <c r="L15" s="45"/>
    </row>
    <row r="16" spans="1:14" ht="14.4" x14ac:dyDescent="0.3">
      <c r="A16" s="1" t="s">
        <v>25</v>
      </c>
      <c r="C16" s="44">
        <f>-12*$L$48</f>
        <v>-1404000</v>
      </c>
      <c r="D16" s="44">
        <f t="shared" ref="D16:L16" si="2">-12*$L$48</f>
        <v>-1404000</v>
      </c>
      <c r="E16" s="44">
        <f t="shared" si="2"/>
        <v>-1404000</v>
      </c>
      <c r="F16" s="44">
        <f t="shared" si="2"/>
        <v>-1404000</v>
      </c>
      <c r="G16" s="44">
        <f t="shared" si="2"/>
        <v>-1404000</v>
      </c>
      <c r="H16" s="44">
        <f t="shared" si="2"/>
        <v>-1404000</v>
      </c>
      <c r="I16" s="44">
        <f t="shared" si="2"/>
        <v>-1404000</v>
      </c>
      <c r="J16" s="44">
        <f t="shared" si="2"/>
        <v>-1404000</v>
      </c>
      <c r="K16" s="44">
        <f t="shared" si="2"/>
        <v>-1404000</v>
      </c>
      <c r="L16" s="44">
        <f t="shared" si="2"/>
        <v>-1404000</v>
      </c>
    </row>
    <row r="17" spans="1:26" ht="14.4" x14ac:dyDescent="0.3">
      <c r="A17" s="1" t="s">
        <v>50</v>
      </c>
      <c r="C17" s="44">
        <f>-5*($L$44*$M$44+$L$45*$M$45)</f>
        <v>-2961000</v>
      </c>
      <c r="D17" s="44">
        <f t="shared" ref="D17:L17" si="3">-5*($L$44*$M$44+$L$45*$M$45)</f>
        <v>-2961000</v>
      </c>
      <c r="E17" s="44">
        <f t="shared" si="3"/>
        <v>-2961000</v>
      </c>
      <c r="F17" s="44">
        <f t="shared" si="3"/>
        <v>-2961000</v>
      </c>
      <c r="G17" s="44">
        <f t="shared" si="3"/>
        <v>-2961000</v>
      </c>
      <c r="H17" s="44">
        <f t="shared" si="3"/>
        <v>-2961000</v>
      </c>
      <c r="I17" s="44">
        <f t="shared" si="3"/>
        <v>-2961000</v>
      </c>
      <c r="J17" s="44">
        <f t="shared" si="3"/>
        <v>-2961000</v>
      </c>
      <c r="K17" s="44">
        <f t="shared" si="3"/>
        <v>-2961000</v>
      </c>
      <c r="L17" s="44">
        <f t="shared" si="3"/>
        <v>-2961000</v>
      </c>
    </row>
    <row r="18" spans="1:26" ht="14.4" x14ac:dyDescent="0.3">
      <c r="A18" s="19" t="s">
        <v>26</v>
      </c>
      <c r="B18" s="20"/>
      <c r="C18" s="45"/>
      <c r="D18" s="45"/>
      <c r="E18" s="45"/>
      <c r="F18" s="45"/>
      <c r="G18" s="45"/>
      <c r="H18" s="45"/>
      <c r="I18" s="45"/>
      <c r="J18" s="45"/>
      <c r="K18" s="45"/>
      <c r="L18" s="45"/>
    </row>
    <row r="19" spans="1:26" ht="14.4" x14ac:dyDescent="0.3">
      <c r="A19" s="1" t="s">
        <v>27</v>
      </c>
      <c r="C19" s="46">
        <f>-DatosProduccion!C6*L39</f>
        <v>-63360000</v>
      </c>
      <c r="D19" s="46">
        <f>-DatosProduccion!D6*$L$39</f>
        <v>-63360000</v>
      </c>
      <c r="E19" s="46">
        <f>-DatosProduccion!E6*$L$39</f>
        <v>-63360000</v>
      </c>
      <c r="F19" s="46">
        <f>-DatosProduccion!F6*$L$39</f>
        <v>-63360000</v>
      </c>
      <c r="G19" s="46">
        <f>-DatosProduccion!G6*$L$39</f>
        <v>-63360000</v>
      </c>
      <c r="H19" s="46">
        <f>-DatosProduccion!H6*$L$39</f>
        <v>-63360000</v>
      </c>
      <c r="I19" s="46">
        <f>-DatosProduccion!I6*$L$39</f>
        <v>-63360000</v>
      </c>
      <c r="J19" s="46">
        <f>-DatosProduccion!J6*$L$39</f>
        <v>-63360000</v>
      </c>
      <c r="K19" s="46">
        <f>-DatosProduccion!K6*$L$39</f>
        <v>-63360000</v>
      </c>
      <c r="L19" s="46">
        <f>-DatosProduccion!L6*$L$39</f>
        <v>-63360000</v>
      </c>
    </row>
    <row r="20" spans="1:26" ht="14.4" x14ac:dyDescent="0.3">
      <c r="A20" s="1" t="s">
        <v>28</v>
      </c>
      <c r="B20" s="40"/>
      <c r="C20" s="46">
        <f>-DatosProduccion!C10*$L$40</f>
        <v>-11088000</v>
      </c>
      <c r="D20" s="46">
        <f>-DatosProduccion!D10*$L$40</f>
        <v>-12672000</v>
      </c>
      <c r="E20" s="46">
        <f>-DatosProduccion!E10*$L$40</f>
        <v>-14572800</v>
      </c>
      <c r="F20" s="46">
        <f>-DatosProduccion!F10*$L$40</f>
        <v>-16853760</v>
      </c>
      <c r="G20" s="46">
        <f>-DatosProduccion!G10*$L$40</f>
        <v>-19008000</v>
      </c>
      <c r="H20" s="46">
        <f>-DatosProduccion!H10*$L$40</f>
        <v>-19008000</v>
      </c>
      <c r="I20" s="46">
        <f>-DatosProduccion!I10*$L$40</f>
        <v>-19008000</v>
      </c>
      <c r="J20" s="46">
        <f>-DatosProduccion!J10*$L$40</f>
        <v>-19008000</v>
      </c>
      <c r="K20" s="46">
        <f>-DatosProduccion!K10*$L$40</f>
        <v>-19008000</v>
      </c>
      <c r="L20" s="46">
        <f>-DatosProduccion!L10*$L$40</f>
        <v>-19008000</v>
      </c>
    </row>
    <row r="21" spans="1:26" ht="15.75" customHeight="1" x14ac:dyDescent="0.3">
      <c r="A21" s="22" t="s">
        <v>29</v>
      </c>
      <c r="B21" s="23"/>
      <c r="C21" s="47">
        <f>C20+C19+C17+C16+C14+C13</f>
        <v>-83305800</v>
      </c>
      <c r="D21" s="47">
        <f t="shared" ref="D21:L21" si="4">D20+D19+D17+D16+D14+D13</f>
        <v>-84889800</v>
      </c>
      <c r="E21" s="47">
        <f t="shared" si="4"/>
        <v>-86790600</v>
      </c>
      <c r="F21" s="47">
        <f t="shared" si="4"/>
        <v>-89071560</v>
      </c>
      <c r="G21" s="47">
        <f t="shared" si="4"/>
        <v>-91225800</v>
      </c>
      <c r="H21" s="47">
        <f t="shared" si="4"/>
        <v>-91225800</v>
      </c>
      <c r="I21" s="47">
        <f t="shared" si="4"/>
        <v>-91225800</v>
      </c>
      <c r="J21" s="47">
        <f t="shared" si="4"/>
        <v>-91225800</v>
      </c>
      <c r="K21" s="47">
        <f t="shared" si="4"/>
        <v>-91225800</v>
      </c>
      <c r="L21" s="47">
        <f t="shared" si="4"/>
        <v>-91225800</v>
      </c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</row>
    <row r="22" spans="1:26" ht="15.75" customHeight="1" x14ac:dyDescent="0.3">
      <c r="A22" s="71" t="s">
        <v>30</v>
      </c>
      <c r="B22" s="69"/>
      <c r="C22" s="69"/>
      <c r="D22" s="69"/>
      <c r="E22" s="69"/>
      <c r="F22" s="69"/>
      <c r="G22" s="69"/>
      <c r="H22" s="69"/>
      <c r="I22" s="69"/>
      <c r="J22" s="69"/>
      <c r="K22" s="69"/>
      <c r="L22" s="69"/>
    </row>
    <row r="23" spans="1:26" ht="15.75" customHeight="1" x14ac:dyDescent="0.3">
      <c r="A23" s="21" t="s">
        <v>31</v>
      </c>
      <c r="B23" s="4"/>
      <c r="C23" s="48">
        <f>DatosProduccion!C8*$L$41</f>
        <v>91080000</v>
      </c>
      <c r="D23" s="48">
        <f>DatosProduccion!D8*$L$41</f>
        <v>91080000</v>
      </c>
      <c r="E23" s="48">
        <f>DatosProduccion!E8*$L$41</f>
        <v>91080000</v>
      </c>
      <c r="F23" s="48">
        <f>DatosProduccion!F8*$L$41</f>
        <v>91080000</v>
      </c>
      <c r="G23" s="48">
        <f>DatosProduccion!G8*$L$41</f>
        <v>91080000</v>
      </c>
      <c r="H23" s="48">
        <f>DatosProduccion!H8*$L$41</f>
        <v>91080000</v>
      </c>
      <c r="I23" s="48">
        <f>DatosProduccion!I8*$L$41</f>
        <v>91080000</v>
      </c>
      <c r="J23" s="48">
        <f>DatosProduccion!J8*$L$41</f>
        <v>91080000</v>
      </c>
      <c r="K23" s="48">
        <f>DatosProduccion!K8*$L$41</f>
        <v>91080000</v>
      </c>
      <c r="L23" s="48">
        <f>DatosProduccion!L8*$L$41</f>
        <v>91080000</v>
      </c>
    </row>
    <row r="24" spans="1:26" ht="15.75" customHeight="1" x14ac:dyDescent="0.3">
      <c r="A24" s="21" t="s">
        <v>32</v>
      </c>
      <c r="B24" s="4"/>
      <c r="C24" s="48">
        <f>DatosProduccion!C9*$L$38</f>
        <v>11880000</v>
      </c>
      <c r="D24" s="48">
        <f>DatosProduccion!D9*$L$38</f>
        <v>14256000.000000002</v>
      </c>
      <c r="E24" s="48">
        <f>DatosProduccion!E9*$L$38</f>
        <v>17107200</v>
      </c>
      <c r="F24" s="48">
        <f>DatosProduccion!F9*$L$38</f>
        <v>20528640</v>
      </c>
      <c r="G24" s="48">
        <f>DatosProduccion!G9*$L$38</f>
        <v>23760000</v>
      </c>
      <c r="H24" s="48">
        <f>DatosProduccion!H9*$L$38</f>
        <v>23760000</v>
      </c>
      <c r="I24" s="48">
        <f>DatosProduccion!I9*$L$38</f>
        <v>23760000</v>
      </c>
      <c r="J24" s="48">
        <f>DatosProduccion!J9*$L$38</f>
        <v>23760000</v>
      </c>
      <c r="K24" s="48">
        <f>DatosProduccion!K9*$L$38</f>
        <v>23760000</v>
      </c>
      <c r="L24" s="48">
        <f>DatosProduccion!L9*$L$38</f>
        <v>23760000</v>
      </c>
    </row>
    <row r="25" spans="1:26" ht="15.75" customHeight="1" x14ac:dyDescent="0.3">
      <c r="A25" s="22" t="s">
        <v>33</v>
      </c>
      <c r="B25" s="23"/>
      <c r="C25" s="49">
        <f>C24+C23</f>
        <v>102960000</v>
      </c>
      <c r="D25" s="49">
        <f t="shared" ref="D25:L25" si="5">D24+D23</f>
        <v>105336000</v>
      </c>
      <c r="E25" s="49">
        <f t="shared" si="5"/>
        <v>108187200</v>
      </c>
      <c r="F25" s="49">
        <f t="shared" si="5"/>
        <v>111608640</v>
      </c>
      <c r="G25" s="49">
        <f t="shared" si="5"/>
        <v>114840000</v>
      </c>
      <c r="H25" s="49">
        <f t="shared" si="5"/>
        <v>114840000</v>
      </c>
      <c r="I25" s="49">
        <f t="shared" si="5"/>
        <v>114840000</v>
      </c>
      <c r="J25" s="49">
        <f t="shared" si="5"/>
        <v>114840000</v>
      </c>
      <c r="K25" s="49">
        <f t="shared" si="5"/>
        <v>114840000</v>
      </c>
      <c r="L25" s="49">
        <f t="shared" si="5"/>
        <v>114840000</v>
      </c>
      <c r="M25" s="24"/>
      <c r="N25" s="24"/>
      <c r="O25" s="24"/>
      <c r="P25" s="24"/>
      <c r="Q25" s="24"/>
      <c r="R25" s="24"/>
      <c r="S25" s="24"/>
      <c r="T25" s="24"/>
      <c r="U25" s="24"/>
      <c r="V25" s="24"/>
      <c r="W25" s="24"/>
      <c r="X25" s="24"/>
      <c r="Y25" s="24"/>
      <c r="Z25" s="24"/>
    </row>
    <row r="26" spans="1:26" ht="15.75" customHeight="1" x14ac:dyDescent="0.3">
      <c r="A26" s="71" t="s">
        <v>34</v>
      </c>
      <c r="B26" s="69"/>
      <c r="C26" s="69"/>
      <c r="D26" s="69"/>
      <c r="E26" s="69"/>
      <c r="F26" s="69"/>
      <c r="G26" s="69"/>
      <c r="H26" s="69"/>
      <c r="I26" s="69"/>
      <c r="J26" s="69"/>
      <c r="K26" s="69"/>
      <c r="L26" s="69"/>
    </row>
    <row r="27" spans="1:26" ht="15.75" customHeight="1" x14ac:dyDescent="0.3">
      <c r="A27" s="30" t="s">
        <v>35</v>
      </c>
      <c r="B27" s="4"/>
      <c r="C27" s="48">
        <f>C25+C21</f>
        <v>19654200</v>
      </c>
      <c r="D27" s="48">
        <f t="shared" ref="D27:L27" si="6">D25+D21</f>
        <v>20446200</v>
      </c>
      <c r="E27" s="48">
        <f t="shared" si="6"/>
        <v>21396600</v>
      </c>
      <c r="F27" s="48">
        <f t="shared" si="6"/>
        <v>22537080</v>
      </c>
      <c r="G27" s="48">
        <f t="shared" si="6"/>
        <v>23614200</v>
      </c>
      <c r="H27" s="48">
        <f t="shared" si="6"/>
        <v>23614200</v>
      </c>
      <c r="I27" s="48">
        <f t="shared" si="6"/>
        <v>23614200</v>
      </c>
      <c r="J27" s="48">
        <f t="shared" si="6"/>
        <v>23614200</v>
      </c>
      <c r="K27" s="48">
        <f t="shared" si="6"/>
        <v>23614200</v>
      </c>
      <c r="L27" s="48">
        <f t="shared" si="6"/>
        <v>23614200</v>
      </c>
    </row>
    <row r="28" spans="1:26" ht="15.75" customHeight="1" x14ac:dyDescent="0.3">
      <c r="A28" s="9" t="s">
        <v>36</v>
      </c>
      <c r="B28" s="4"/>
      <c r="C28" s="48">
        <f>'Prestamo&amp;Depreciacion'!C12</f>
        <v>-4320000</v>
      </c>
      <c r="D28" s="48">
        <f>'Prestamo&amp;Depreciacion'!D12</f>
        <v>-4320000</v>
      </c>
      <c r="E28" s="48">
        <f>'Prestamo&amp;Depreciacion'!E12</f>
        <v>-4320000</v>
      </c>
      <c r="F28" s="48">
        <f>'Prestamo&amp;Depreciacion'!F12</f>
        <v>-4320000</v>
      </c>
      <c r="G28" s="48">
        <f>'Prestamo&amp;Depreciacion'!G12</f>
        <v>-4320000</v>
      </c>
      <c r="H28" s="48">
        <f>'Prestamo&amp;Depreciacion'!H12</f>
        <v>-4320000</v>
      </c>
      <c r="I28" s="48">
        <f>'Prestamo&amp;Depreciacion'!I12</f>
        <v>-4320000</v>
      </c>
      <c r="J28" s="48">
        <f>'Prestamo&amp;Depreciacion'!J12</f>
        <v>-4320000</v>
      </c>
      <c r="K28" s="48">
        <f>'Prestamo&amp;Depreciacion'!K12</f>
        <v>-4320000</v>
      </c>
      <c r="L28" s="48">
        <f>'Prestamo&amp;Depreciacion'!L12</f>
        <v>-4320000</v>
      </c>
    </row>
    <row r="29" spans="1:26" ht="15.75" customHeight="1" x14ac:dyDescent="0.3">
      <c r="A29" s="9" t="s">
        <v>37</v>
      </c>
      <c r="B29" s="4"/>
      <c r="C29" s="48">
        <f>C27+C28</f>
        <v>15334200</v>
      </c>
      <c r="D29" s="48">
        <f t="shared" ref="D29:L29" si="7">D27+D28</f>
        <v>16126200</v>
      </c>
      <c r="E29" s="48">
        <f t="shared" si="7"/>
        <v>17076600</v>
      </c>
      <c r="F29" s="48">
        <f t="shared" si="7"/>
        <v>18217080</v>
      </c>
      <c r="G29" s="48">
        <f t="shared" si="7"/>
        <v>19294200</v>
      </c>
      <c r="H29" s="48">
        <f t="shared" si="7"/>
        <v>19294200</v>
      </c>
      <c r="I29" s="48">
        <f t="shared" si="7"/>
        <v>19294200</v>
      </c>
      <c r="J29" s="48">
        <f t="shared" si="7"/>
        <v>19294200</v>
      </c>
      <c r="K29" s="48">
        <f t="shared" si="7"/>
        <v>19294200</v>
      </c>
      <c r="L29" s="48">
        <f t="shared" si="7"/>
        <v>19294200</v>
      </c>
    </row>
    <row r="30" spans="1:26" ht="15.75" customHeight="1" x14ac:dyDescent="0.3">
      <c r="A30" s="9" t="s">
        <v>38</v>
      </c>
      <c r="B30" s="4"/>
      <c r="C30" s="48">
        <f>-0.35*C29</f>
        <v>-5366970</v>
      </c>
      <c r="D30" s="48">
        <f t="shared" ref="D30:L30" si="8">-0.35*D29</f>
        <v>-5644170</v>
      </c>
      <c r="E30" s="48">
        <f t="shared" si="8"/>
        <v>-5976810</v>
      </c>
      <c r="F30" s="48">
        <f t="shared" si="8"/>
        <v>-6375978</v>
      </c>
      <c r="G30" s="48">
        <f t="shared" si="8"/>
        <v>-6752970</v>
      </c>
      <c r="H30" s="48">
        <f t="shared" si="8"/>
        <v>-6752970</v>
      </c>
      <c r="I30" s="48">
        <f t="shared" si="8"/>
        <v>-6752970</v>
      </c>
      <c r="J30" s="48">
        <f t="shared" si="8"/>
        <v>-6752970</v>
      </c>
      <c r="K30" s="48">
        <f t="shared" si="8"/>
        <v>-6752970</v>
      </c>
      <c r="L30" s="48">
        <f t="shared" si="8"/>
        <v>-6752970</v>
      </c>
    </row>
    <row r="31" spans="1:26" ht="15.75" customHeight="1" x14ac:dyDescent="0.3">
      <c r="A31" s="17" t="s">
        <v>39</v>
      </c>
      <c r="B31" s="25"/>
      <c r="C31" s="50">
        <f>C30+C29-C28</f>
        <v>14287230</v>
      </c>
      <c r="D31" s="50">
        <f t="shared" ref="D31:L31" si="9">D30+D29-D28</f>
        <v>14802030</v>
      </c>
      <c r="E31" s="50">
        <f t="shared" si="9"/>
        <v>15419790</v>
      </c>
      <c r="F31" s="50">
        <f t="shared" si="9"/>
        <v>16161102</v>
      </c>
      <c r="G31" s="50">
        <f t="shared" si="9"/>
        <v>16861230</v>
      </c>
      <c r="H31" s="50">
        <f t="shared" si="9"/>
        <v>16861230</v>
      </c>
      <c r="I31" s="50">
        <f t="shared" si="9"/>
        <v>16861230</v>
      </c>
      <c r="J31" s="50">
        <f t="shared" si="9"/>
        <v>16861230</v>
      </c>
      <c r="K31" s="50">
        <f t="shared" si="9"/>
        <v>16861230</v>
      </c>
      <c r="L31" s="50">
        <f t="shared" si="9"/>
        <v>16861230</v>
      </c>
    </row>
    <row r="32" spans="1:26" ht="15.75" customHeight="1" x14ac:dyDescent="0.3">
      <c r="A32" s="31" t="s">
        <v>44</v>
      </c>
      <c r="B32" s="51">
        <f>$B$6</f>
        <v>-2160000</v>
      </c>
      <c r="C32" s="48">
        <f>C31+C10</f>
        <v>-5043617.7995070405</v>
      </c>
      <c r="D32" s="48">
        <f t="shared" ref="D32:K32" si="10">D31+D10</f>
        <v>-4528817.7995070405</v>
      </c>
      <c r="E32" s="48">
        <f t="shared" si="10"/>
        <v>-3911057.7995070405</v>
      </c>
      <c r="F32" s="48">
        <f t="shared" si="10"/>
        <v>-3169745.7995070405</v>
      </c>
      <c r="G32" s="48">
        <f t="shared" si="10"/>
        <v>-2469617.7995070405</v>
      </c>
      <c r="H32" s="48">
        <f t="shared" si="10"/>
        <v>16861230</v>
      </c>
      <c r="I32" s="48">
        <f t="shared" si="10"/>
        <v>16861230</v>
      </c>
      <c r="J32" s="48">
        <f t="shared" si="10"/>
        <v>16861230</v>
      </c>
      <c r="K32" s="48">
        <f t="shared" si="10"/>
        <v>16861230</v>
      </c>
      <c r="L32" s="48">
        <f>L31+L10+L7</f>
        <v>40621230</v>
      </c>
    </row>
    <row r="33" spans="1:13" ht="15.75" customHeight="1" x14ac:dyDescent="0.3">
      <c r="A33" s="31" t="s">
        <v>45</v>
      </c>
      <c r="B33" s="51">
        <f t="shared" ref="B33:B35" si="11">$B$6</f>
        <v>-2160000</v>
      </c>
      <c r="C33" s="48">
        <f>B33+C32</f>
        <v>-7203617.7995070405</v>
      </c>
      <c r="D33" s="48">
        <f t="shared" ref="D33:L33" si="12">C33+D32</f>
        <v>-11732435.599014081</v>
      </c>
      <c r="E33" s="48">
        <f t="shared" si="12"/>
        <v>-15643493.398521122</v>
      </c>
      <c r="F33" s="48">
        <f t="shared" si="12"/>
        <v>-18813239.198028162</v>
      </c>
      <c r="G33" s="48">
        <f t="shared" si="12"/>
        <v>-21282856.997535203</v>
      </c>
      <c r="H33" s="55">
        <f t="shared" si="12"/>
        <v>-4421626.9975352027</v>
      </c>
      <c r="I33" s="55">
        <f t="shared" si="12"/>
        <v>12439603.002464797</v>
      </c>
      <c r="J33" s="48">
        <f t="shared" si="12"/>
        <v>29300833.002464797</v>
      </c>
      <c r="K33" s="48">
        <f t="shared" si="12"/>
        <v>46162063.002464801</v>
      </c>
      <c r="L33" s="48">
        <f t="shared" si="12"/>
        <v>86783293.002464801</v>
      </c>
    </row>
    <row r="34" spans="1:13" ht="15.75" customHeight="1" x14ac:dyDescent="0.3">
      <c r="A34" s="31" t="s">
        <v>46</v>
      </c>
      <c r="B34" s="51">
        <f t="shared" si="11"/>
        <v>-2160000</v>
      </c>
      <c r="C34" s="48">
        <f>C32*((1+$B$41)^(-C3))</f>
        <v>-4034894.2396056326</v>
      </c>
      <c r="D34" s="48">
        <f t="shared" ref="D34:L34" si="13">D32*((1+$B$41)^(-D3))</f>
        <v>-2898443.3916845061</v>
      </c>
      <c r="E34" s="48">
        <f t="shared" si="13"/>
        <v>-2002461.5933476049</v>
      </c>
      <c r="F34" s="48">
        <f t="shared" si="13"/>
        <v>-1298327.8794780839</v>
      </c>
      <c r="G34" s="48">
        <f t="shared" si="13"/>
        <v>-809244.3605424671</v>
      </c>
      <c r="H34" s="48">
        <f t="shared" si="13"/>
        <v>4420070.2771199998</v>
      </c>
      <c r="I34" s="48">
        <f t="shared" si="13"/>
        <v>3536056.2216959996</v>
      </c>
      <c r="J34" s="48">
        <f t="shared" si="13"/>
        <v>2828844.9773567999</v>
      </c>
      <c r="K34" s="48">
        <f t="shared" si="13"/>
        <v>2263075.9818854402</v>
      </c>
      <c r="L34" s="48">
        <f t="shared" si="13"/>
        <v>4361671.3593323519</v>
      </c>
    </row>
    <row r="35" spans="1:13" ht="15.75" customHeight="1" x14ac:dyDescent="0.3">
      <c r="A35" s="31" t="s">
        <v>47</v>
      </c>
      <c r="B35" s="51">
        <f t="shared" si="11"/>
        <v>-2160000</v>
      </c>
      <c r="C35" s="48">
        <f>C34+B35</f>
        <v>-6194894.2396056326</v>
      </c>
      <c r="D35" s="48">
        <f t="shared" ref="D35:L35" si="14">D34+C35</f>
        <v>-9093337.6312901378</v>
      </c>
      <c r="E35" s="48">
        <f t="shared" si="14"/>
        <v>-11095799.224637743</v>
      </c>
      <c r="F35" s="48">
        <f t="shared" si="14"/>
        <v>-12394127.104115827</v>
      </c>
      <c r="G35" s="48">
        <f t="shared" si="14"/>
        <v>-13203371.464658294</v>
      </c>
      <c r="H35" s="48">
        <f t="shared" si="14"/>
        <v>-8783301.1875382941</v>
      </c>
      <c r="I35" s="48">
        <f t="shared" si="14"/>
        <v>-5247244.9658422945</v>
      </c>
      <c r="J35" s="48">
        <f t="shared" si="14"/>
        <v>-2418399.9884854946</v>
      </c>
      <c r="K35" s="56">
        <f t="shared" si="14"/>
        <v>-155324.00660005445</v>
      </c>
      <c r="L35" s="56">
        <f t="shared" si="14"/>
        <v>4206347.352732297</v>
      </c>
    </row>
    <row r="36" spans="1:13" ht="15.75" customHeight="1" x14ac:dyDescent="0.3">
      <c r="B36" s="4"/>
      <c r="C36" s="48"/>
      <c r="D36" s="48"/>
      <c r="E36" s="48"/>
      <c r="F36" s="48"/>
      <c r="G36" s="48"/>
      <c r="H36" s="48"/>
      <c r="I36" s="59"/>
      <c r="J36" s="59"/>
      <c r="K36" s="59"/>
      <c r="L36" s="59"/>
      <c r="M36" s="60"/>
    </row>
    <row r="37" spans="1:13" ht="15.75" customHeight="1" x14ac:dyDescent="0.3">
      <c r="A37" s="26" t="s">
        <v>40</v>
      </c>
      <c r="B37" s="27">
        <f>SUM(B34:L34)</f>
        <v>4206347.352732297</v>
      </c>
      <c r="I37" s="60"/>
      <c r="J37" s="60"/>
      <c r="K37" s="60" t="s">
        <v>52</v>
      </c>
      <c r="L37" s="60">
        <v>198000</v>
      </c>
      <c r="M37" s="60" t="s">
        <v>53</v>
      </c>
    </row>
    <row r="38" spans="1:13" ht="15.75" customHeight="1" x14ac:dyDescent="0.3">
      <c r="A38" s="26" t="s">
        <v>41</v>
      </c>
      <c r="B38" s="67">
        <f>B56</f>
        <v>0.30882867022467192</v>
      </c>
      <c r="I38" s="60"/>
      <c r="J38" s="60"/>
      <c r="K38" s="60" t="s">
        <v>54</v>
      </c>
      <c r="L38" s="60">
        <v>21.6</v>
      </c>
      <c r="M38" s="60" t="s">
        <v>55</v>
      </c>
    </row>
    <row r="39" spans="1:13" ht="15.75" customHeight="1" x14ac:dyDescent="0.3">
      <c r="A39" s="57" t="s">
        <v>42</v>
      </c>
      <c r="B39" s="63">
        <v>6.2622363254364455</v>
      </c>
      <c r="C39" s="32" t="s">
        <v>82</v>
      </c>
      <c r="I39" s="60" t="s">
        <v>81</v>
      </c>
      <c r="J39" s="61">
        <f>1/(I33-H33)-(B39-H3)/-H33</f>
        <v>-4.7685307952456939E-20</v>
      </c>
      <c r="K39" s="60" t="s">
        <v>56</v>
      </c>
      <c r="L39" s="60">
        <v>57.6</v>
      </c>
      <c r="M39" s="60" t="s">
        <v>55</v>
      </c>
    </row>
    <row r="40" spans="1:13" ht="15.75" customHeight="1" x14ac:dyDescent="0.3">
      <c r="A40" s="58" t="s">
        <v>43</v>
      </c>
      <c r="B40" s="28">
        <v>9.0356095677738359</v>
      </c>
      <c r="C40" s="32" t="s">
        <v>84</v>
      </c>
      <c r="I40" s="60" t="s">
        <v>83</v>
      </c>
      <c r="J40" s="62">
        <f>1/(L35-K35)-(B40-K3)/-K35</f>
        <v>9.9999999998260507E-12</v>
      </c>
      <c r="K40" s="60" t="s">
        <v>57</v>
      </c>
      <c r="L40" s="60">
        <v>14.4</v>
      </c>
      <c r="M40" s="60" t="s">
        <v>55</v>
      </c>
    </row>
    <row r="41" spans="1:13" ht="15.75" customHeight="1" x14ac:dyDescent="0.3">
      <c r="A41" s="26" t="s">
        <v>77</v>
      </c>
      <c r="B41">
        <v>0.25</v>
      </c>
      <c r="I41" s="60"/>
      <c r="J41" s="60"/>
      <c r="K41" s="60" t="s">
        <v>69</v>
      </c>
      <c r="L41" s="60">
        <v>414</v>
      </c>
      <c r="M41" s="60" t="s">
        <v>55</v>
      </c>
    </row>
    <row r="42" spans="1:13" ht="15.75" customHeight="1" x14ac:dyDescent="0.3">
      <c r="A42" s="29"/>
      <c r="I42" s="60"/>
      <c r="J42" s="60"/>
      <c r="K42" s="60" t="s">
        <v>58</v>
      </c>
      <c r="L42" s="60"/>
      <c r="M42" s="60"/>
    </row>
    <row r="43" spans="1:13" ht="15.75" customHeight="1" x14ac:dyDescent="0.3">
      <c r="B43" s="70" t="s">
        <v>85</v>
      </c>
      <c r="C43" s="70"/>
      <c r="D43" s="70"/>
      <c r="E43" s="70"/>
      <c r="F43" s="70"/>
      <c r="G43" s="64"/>
      <c r="I43" s="60"/>
      <c r="J43" s="60"/>
      <c r="K43" s="60" t="s">
        <v>59</v>
      </c>
      <c r="L43" s="60" t="s">
        <v>61</v>
      </c>
      <c r="M43" s="60" t="s">
        <v>62</v>
      </c>
    </row>
    <row r="44" spans="1:13" ht="15.75" customHeight="1" x14ac:dyDescent="0.3">
      <c r="B44" s="70"/>
      <c r="C44" s="70"/>
      <c r="D44" s="70"/>
      <c r="E44" s="70"/>
      <c r="F44" s="70"/>
      <c r="G44" s="64"/>
      <c r="I44" s="60"/>
      <c r="J44" s="60"/>
      <c r="K44" s="60" t="s">
        <v>60</v>
      </c>
      <c r="L44" s="60">
        <v>225000</v>
      </c>
      <c r="M44" s="60">
        <v>1</v>
      </c>
    </row>
    <row r="45" spans="1:13" ht="15.75" customHeight="1" x14ac:dyDescent="0.3">
      <c r="B45" s="70"/>
      <c r="C45" s="70"/>
      <c r="D45" s="70"/>
      <c r="E45" s="70"/>
      <c r="F45" s="70"/>
      <c r="I45" s="60"/>
      <c r="J45" s="60"/>
      <c r="K45" s="60" t="s">
        <v>63</v>
      </c>
      <c r="L45" s="60">
        <v>122400</v>
      </c>
      <c r="M45" s="60">
        <v>3</v>
      </c>
    </row>
    <row r="46" spans="1:13" ht="15.75" customHeight="1" x14ac:dyDescent="0.3">
      <c r="I46" s="60"/>
      <c r="J46" s="60"/>
      <c r="K46" s="60" t="s">
        <v>64</v>
      </c>
      <c r="L46" s="60">
        <v>176400</v>
      </c>
      <c r="M46" s="60">
        <v>1</v>
      </c>
    </row>
    <row r="47" spans="1:13" ht="15.75" customHeight="1" x14ac:dyDescent="0.3">
      <c r="I47" s="60"/>
      <c r="J47" s="60"/>
      <c r="K47" s="60" t="s">
        <v>75</v>
      </c>
      <c r="L47" s="60"/>
      <c r="M47" s="60"/>
    </row>
    <row r="48" spans="1:13" ht="15.75" customHeight="1" x14ac:dyDescent="0.3">
      <c r="I48" s="60"/>
      <c r="J48" s="60"/>
      <c r="K48" s="60" t="s">
        <v>76</v>
      </c>
      <c r="L48" s="60">
        <v>117000</v>
      </c>
      <c r="M48" s="60" t="s">
        <v>53</v>
      </c>
    </row>
    <row r="49" spans="1:12" ht="15.75" customHeight="1" x14ac:dyDescent="0.25"/>
    <row r="50" spans="1:12" ht="15.75" customHeight="1" x14ac:dyDescent="0.25"/>
    <row r="51" spans="1:12" ht="15.75" customHeight="1" x14ac:dyDescent="0.25"/>
    <row r="52" spans="1:12" ht="15.75" customHeight="1" x14ac:dyDescent="0.3">
      <c r="A52" s="60" t="s">
        <v>78</v>
      </c>
      <c r="B52" s="60"/>
    </row>
    <row r="53" spans="1:12" ht="15.75" customHeight="1" x14ac:dyDescent="0.3">
      <c r="A53" s="65" t="s">
        <v>44</v>
      </c>
      <c r="B53" s="53">
        <f>B32</f>
        <v>-2160000</v>
      </c>
      <c r="C53" s="53">
        <f t="shared" ref="C53:L53" si="15">C32</f>
        <v>-5043617.7995070405</v>
      </c>
      <c r="D53" s="53">
        <f t="shared" si="15"/>
        <v>-4528817.7995070405</v>
      </c>
      <c r="E53" s="53">
        <f t="shared" si="15"/>
        <v>-3911057.7995070405</v>
      </c>
      <c r="F53" s="53">
        <f t="shared" si="15"/>
        <v>-3169745.7995070405</v>
      </c>
      <c r="G53" s="53">
        <f t="shared" si="15"/>
        <v>-2469617.7995070405</v>
      </c>
      <c r="H53" s="53">
        <f t="shared" si="15"/>
        <v>16861230</v>
      </c>
      <c r="I53" s="53">
        <f t="shared" si="15"/>
        <v>16861230</v>
      </c>
      <c r="J53" s="53">
        <f t="shared" si="15"/>
        <v>16861230</v>
      </c>
      <c r="K53" s="53">
        <f t="shared" si="15"/>
        <v>16861230</v>
      </c>
      <c r="L53" s="53">
        <f t="shared" si="15"/>
        <v>40621230</v>
      </c>
    </row>
    <row r="54" spans="1:12" ht="15.75" customHeight="1" x14ac:dyDescent="0.3">
      <c r="A54" s="65" t="s">
        <v>46</v>
      </c>
      <c r="B54" s="42">
        <f>B53*(1+$B$56)^(-B3)</f>
        <v>-2160000</v>
      </c>
      <c r="C54" s="54">
        <f t="shared" ref="C54:L54" si="16">C53*(1+$B$56)^(-C3)</f>
        <v>-3853535.542311477</v>
      </c>
      <c r="D54" s="54">
        <f t="shared" si="16"/>
        <v>-2643743.0879019815</v>
      </c>
      <c r="E54" s="54">
        <f t="shared" si="16"/>
        <v>-1744399.0236583964</v>
      </c>
      <c r="F54" s="54">
        <f t="shared" si="16"/>
        <v>-1080172.7972614199</v>
      </c>
      <c r="G54" s="54">
        <f t="shared" si="16"/>
        <v>-643007.06954580918</v>
      </c>
      <c r="H54" s="54">
        <f t="shared" si="16"/>
        <v>3354227.0268149101</v>
      </c>
      <c r="I54" s="54">
        <f t="shared" si="16"/>
        <v>2562770.1341835121</v>
      </c>
      <c r="J54" s="54">
        <f t="shared" si="16"/>
        <v>1958063.8722894038</v>
      </c>
      <c r="K54" s="54">
        <f t="shared" si="16"/>
        <v>1496042.9251242524</v>
      </c>
      <c r="L54" s="54">
        <f t="shared" si="16"/>
        <v>2753753.5622671214</v>
      </c>
    </row>
    <row r="55" spans="1:12" ht="15.75" customHeight="1" x14ac:dyDescent="0.3">
      <c r="A55" s="60"/>
      <c r="B55" s="60"/>
    </row>
    <row r="56" spans="1:12" ht="15.75" customHeight="1" x14ac:dyDescent="0.3">
      <c r="A56" s="60" t="s">
        <v>79</v>
      </c>
      <c r="B56" s="66">
        <v>0.30882867022467192</v>
      </c>
    </row>
    <row r="57" spans="1:12" ht="15.75" customHeight="1" x14ac:dyDescent="0.3">
      <c r="A57" s="60" t="s">
        <v>80</v>
      </c>
      <c r="B57" s="41">
        <f>SUM(B54:L54)</f>
        <v>1.1408701539039612E-7</v>
      </c>
    </row>
    <row r="58" spans="1:12" ht="15.75" customHeight="1" x14ac:dyDescent="0.25"/>
    <row r="59" spans="1:12" ht="15.75" customHeight="1" x14ac:dyDescent="0.25"/>
    <row r="60" spans="1:12" ht="15.75" customHeight="1" x14ac:dyDescent="0.25"/>
    <row r="61" spans="1:12" ht="15.75" customHeight="1" x14ac:dyDescent="0.25"/>
    <row r="62" spans="1:12" ht="15.75" customHeight="1" x14ac:dyDescent="0.25"/>
    <row r="63" spans="1:12" ht="15.75" customHeight="1" x14ac:dyDescent="0.25"/>
    <row r="64" spans="1:12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  <row r="1001" ht="15.75" customHeight="1" x14ac:dyDescent="0.25"/>
  </sheetData>
  <mergeCells count="7">
    <mergeCell ref="B43:F45"/>
    <mergeCell ref="A26:L26"/>
    <mergeCell ref="A2:L2"/>
    <mergeCell ref="A4:L4"/>
    <mergeCell ref="A8:L8"/>
    <mergeCell ref="A11:L11"/>
    <mergeCell ref="A22:L22"/>
  </mergeCells>
  <pageMargins left="0.7" right="0.7" top="0.75" bottom="0.75" header="0" footer="0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Prestamo&amp;Depreciacion</vt:lpstr>
      <vt:lpstr>DatosProduccion</vt:lpstr>
      <vt:lpstr>FlujoFondos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Guillermo Durand</dc:creator>
  <cp:lastModifiedBy>Usuario de Windows</cp:lastModifiedBy>
  <dcterms:created xsi:type="dcterms:W3CDTF">2020-07-21T13:42:36Z</dcterms:created>
  <dcterms:modified xsi:type="dcterms:W3CDTF">2021-07-08T23:12:20Z</dcterms:modified>
</cp:coreProperties>
</file>